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<sst xmlns="http://schemas.openxmlformats.org/spreadsheetml/2006/main" count="371" uniqueCount="225">
  <si>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</si>
  <si>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</si>
  <si>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</si>
  <si>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</si>
  <si>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</si>
  <si>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</si>
  <si>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</si>
  <si>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</si>
  <si>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</si>
  <si>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</si>
  <si>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</si>
  <si>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</si>
  <si>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</si>
  <si>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</si>
  <si>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</si>
  <si>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</si>
  <si>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</si>
  <si>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</si>
  <si>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</si>
  <si>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</si>
  <si>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</si>
  <si>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</si>
  <si>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</si>
  <si>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</si>
  <si>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</si>
  <si>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</si>
  <si>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</si>
  <si>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</si>
  <si>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</si>
  <si>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</si>
  <si>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</si>
  <si>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</si>
  <si>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</si>
  <si>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</si>
  <si>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</si>
  <si>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</si>
  <si>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</si>
  <si>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</si>
  <si>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</si>
  <si>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</si>
  <si>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</si>
  <si>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</si>
  <si>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</si>
  <si>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</si>
  <si>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</si>
  <si>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</si>
  <si>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</si>
  <si>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</si>
  <si>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</si>
  <si>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</si>
  <si>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</si>
  <si>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</si>
  <si>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</si>
  <si>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</si>
  <si>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</si>
  <si>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</si>
  <si>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</si>
  <si>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</si>
  <si>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</si>
  <si>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</si>
  <si>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</si>
  <si>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</si>
  <si>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</si>
  <si>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</si>
  <si>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</si>
  <si>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</si>
  <si>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</si>
  <si>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</si>
  <si>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</si>
  <si>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</si>
  <si>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</si>
  <si>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</si>
  <si>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</si>
  <si>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</si>
  <si>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</si>
  <si>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</si>
  <si>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</si>
  <si>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</si>
  <si>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</si>
  <si>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</si>
  <si>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</si>
  <si>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</si>
  <si>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</si>
  <si>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</si>
  <si>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</si>
  <si>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</si>
  <si>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</si>
  <si>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</si>
  <si>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</si>
  <si>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</si>
  <si>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</si>
  <si>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</si>
  <si>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</si>
  <si>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</si>
  <si>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</si>
  <si>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</si>
  <si>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</si>
  <si>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</si>
  <si>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</si>
  <si>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</si>
  <si>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</si>
  <si>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</si>
  <si>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</si>
  <si>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</si>
  <si>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</si>
  <si>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</si>
  <si>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</si>
  <si>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</si>
  <si>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</si>
  <si>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</si>
  <si>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</si>
  <si>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</si>
  <si>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</si>
  <si>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</si>
  <si>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</si>
  <si>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</si>
  <si>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</si>
  <si>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</si>
  <si>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</si>
  <si>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</si>
  <si>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</si>
  <si>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</si>
  <si>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</si>
  <si>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</si>
  <si>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</si>
  <si>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</si>
  <si>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</si>
  <si>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</si>
  <si>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</si>
  <si>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</si>
  <si>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</si>
  <si>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</si>
  <si>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</si>
  <si>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</si>
  <si>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</si>
  <si>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</si>
  <si>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</si>
  <si>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</si>
  <si>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</si>
  <si>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</si>
  <si>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</si>
  <si>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</si>
  <si>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</si>
  <si>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</si>
  <si>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</si>
  <si>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</si>
  <si>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</si>
  <si>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</si>
  <si>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C2-M1</t>
  </si>
  <si>
    <t>C2</t>
  </si>
  <si>
    <t>LEMA 01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</si>
  <si>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</si>
  <si>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</si>
  <si>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</si>
  <si>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</si>
  <si>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</si>
  <si>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</si>
  <si>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</si>
  <si>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</si>
  <si>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</si>
  <si>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</si>
  <si>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</si>
  <si>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</si>
  <si>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</si>
  <si>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</si>
  <si>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</si>
  <si>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</si>
  <si>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</si>
  <si>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</si>
  <si>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</si>
  <si>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</si>
  <si>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</si>
  <si>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</si>
  <si>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</si>
  <si>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</si>
  <si>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</si>
  <si>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</si>
  <si>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</si>
  <si>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</si>
  <si>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</si>
  <si>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</si>
  <si>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</si>
  <si>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</si>
  <si>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</si>
  <si>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</si>
  <si>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</si>
  <si>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</si>
  <si>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</si>
  <si>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</si>
  <si>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</si>
  <si>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</si>
  <si>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</si>
  <si>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</si>
  <si>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</si>
  <si>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</si>
  <si>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</si>
  <si>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</si>
  <si>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</si>
  <si>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</si>
  <si>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</si>
  <si>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</si>
  <si>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</si>
  <si>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</si>
  <si>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</si>
  <si>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</si>
  <si>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</si>
  <si>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</si>
  <si>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</si>
  <si>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</si>
  <si>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</si>
  <si>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</si>
  <si>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</si>
  <si>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</si>
  <si>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</si>
  <si>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</si>
  <si>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</si>
  <si>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</si>
  <si>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</si>
  <si>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</si>
  <si>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</si>
  <si>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</si>
  <si>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</si>
  <si>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</si>
  <si>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</si>
  <si>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PESO ESP. RELATIVO DE SOLIDOS (Gs)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</si>
</sst>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5" xfId="0" applyFont="1" applyFill="1" applyBorder="1" applyAlignment="1" applyProtection="1">
      <alignment horizontal="center"/>
      <protection/>
    </xf>
    <xf numFmtId="0" fontId="1" fillId="36" borderId="66" xfId="0" applyFont="1" applyFill="1" applyBorder="1" applyAlignment="1" applyProtection="1">
      <alignment horizontal="center"/>
      <protection/>
    </xf>
    <xf numFmtId="0" fontId="1" fillId="33" borderId="67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>
      <alignment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76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79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81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1" fillId="44" borderId="70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3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5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76" xfId="0" applyFont="1" applyFill="1" applyBorder="1" applyAlignment="1">
      <alignment horizontal="left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86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8" fillId="40" borderId="69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38738878"/>
        <c:axId val="13105583"/>
      </c:scatterChart>
      <c:valAx>
        <c:axId val="3873887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05583"/>
        <c:crosses val="autoZero"/>
        <c:crossBetween val="midCat"/>
        <c:dispUnits/>
        <c:majorUnit val="10"/>
        <c:minorUnit val="10"/>
      </c:valAx>
      <c:valAx>
        <c:axId val="131055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50841384"/>
        <c:axId val="54919273"/>
      </c:scatterChart>
      <c:valAx>
        <c:axId val="50841384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 val="autoZero"/>
        <c:crossBetween val="midCat"/>
        <c:dispUnits/>
      </c:valAx>
      <c:valAx>
        <c:axId val="54919273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94.8081494057725</c:v>
                </c:pt>
                <c:pt idx="3">
                  <c:v>89.1255060728745</c:v>
                </c:pt>
                <c:pt idx="4">
                  <c:v>84.20843672456576</c:v>
                </c:pt>
                <c:pt idx="5">
                  <c:v>72.60754864829568</c:v>
                </c:pt>
                <c:pt idx="6">
                  <c:v>64.82852292020374</c:v>
                </c:pt>
                <c:pt idx="7">
                  <c:v>56.04936659266031</c:v>
                </c:pt>
                <c:pt idx="8">
                  <c:v>51.803056027164686</c:v>
                </c:pt>
                <c:pt idx="9">
                  <c:v>48.85751599843281</c:v>
                </c:pt>
                <c:pt idx="10">
                  <c:v>45.50633407339689</c:v>
                </c:pt>
                <c:pt idx="11">
                  <c:v>41.25715031996866</c:v>
                </c:pt>
                <c:pt idx="12">
                  <c:v>35.95873057333159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24511410"/>
        <c:axId val="19276099"/>
      </c:scatterChart>
      <c:valAx>
        <c:axId val="24511410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 val="autoZero"/>
        <c:crossBetween val="midCat"/>
        <c:dispUnits/>
        <c:majorUnit val="10"/>
        <c:minorUnit val="10"/>
      </c:valAx>
      <c:valAx>
        <c:axId val="192760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4.261626147861882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39267164"/>
        <c:axId val="17860157"/>
      </c:scatterChart>
      <c:valAx>
        <c:axId val="3926716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60157"/>
        <c:crosses val="autoZero"/>
        <c:crossBetween val="midCat"/>
        <c:dispUnits/>
        <c:majorUnit val="10"/>
      </c:valAx>
      <c:valAx>
        <c:axId val="1786015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24.8</c:v>
                </c:pt>
                <c:pt idx="1">
                  <c:v>24.8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28</c:v>
                </c:pt>
                <c:pt idx="1">
                  <c:v>20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24.8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26</c:v>
                </c:pt>
                <c:pt idx="1">
                  <c:v>18</c:v>
                </c:pt>
                <c:pt idx="2">
                  <c:v>30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24.39153439153439</c:v>
                </c:pt>
                <c:pt idx="1">
                  <c:v>25.70194384449243</c:v>
                </c:pt>
                <c:pt idx="2">
                  <c:v>24.282982791586992</c:v>
                </c:pt>
                <c:pt idx="3">
                  <c:v>27.920685959271175</c:v>
                </c:pt>
              </c:numCache>
            </c:numRef>
          </c:yVal>
          <c:smooth val="0"/>
        </c:ser>
        <c:axId val="26523686"/>
        <c:axId val="37386583"/>
      </c:scatterChart>
      <c:valAx>
        <c:axId val="26523686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 val="autoZero"/>
        <c:crossBetween val="midCat"/>
        <c:dispUnits/>
      </c:valAx>
      <c:valAx>
        <c:axId val="37386583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148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149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2.6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3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9">
      <selection activeCell="J33" sqref="J33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C2-M1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150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592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4878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4420.5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457.5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3828.5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11.949849810630795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3051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2459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7.18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2414.4399999999996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0.002513128093491679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44.5600000000004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0.03439661247402561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1376.68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2.951747341658501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35.95873057333159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1.8121187474583327</v>
      </c>
      <c r="G22" s="37"/>
      <c r="H22" s="118" t="s">
        <v>44</v>
      </c>
      <c r="I22" s="119"/>
      <c r="J22" s="102">
        <f>IF(OR($F$6=0,C27=0),"-",IF(J19^2/(J18*J20)&lt;99,J19^2/(J18*J20),"&gt; 99"))</f>
        <v>0.1594914994893612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198.77</v>
      </c>
      <c r="E29" s="104"/>
      <c r="F29" s="101">
        <f t="shared" si="0"/>
        <v>198.77</v>
      </c>
      <c r="G29" s="36"/>
      <c r="H29" s="36">
        <f t="shared" si="1"/>
        <v>5.191850594227504</v>
      </c>
      <c r="I29" s="101">
        <f>IF($F$6=0,"-",SUM($H$27:H29))</f>
        <v>5.191850594227504</v>
      </c>
      <c r="J29" s="33">
        <f t="shared" si="5"/>
        <v>94.8081494057725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217.56</v>
      </c>
      <c r="E30" s="104"/>
      <c r="F30" s="101">
        <f t="shared" si="0"/>
        <v>217.56</v>
      </c>
      <c r="G30" s="36"/>
      <c r="H30" s="36">
        <f t="shared" si="1"/>
        <v>5.682643332898002</v>
      </c>
      <c r="I30" s="101">
        <f>IF($F$6=0,"-",SUM($H$27:H30))</f>
        <v>10.874493927125506</v>
      </c>
      <c r="J30" s="33">
        <f t="shared" si="5"/>
        <v>89.1255060728745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188.25</v>
      </c>
      <c r="E31" s="104"/>
      <c r="F31" s="101">
        <f t="shared" si="0"/>
        <v>188.25</v>
      </c>
      <c r="G31" s="36"/>
      <c r="H31" s="36">
        <f t="shared" si="1"/>
        <v>4.917069348308737</v>
      </c>
      <c r="I31" s="101">
        <f>IF($F$6=0,"-",SUM($H$27:H31))</f>
        <v>15.791563275434243</v>
      </c>
      <c r="J31" s="33">
        <f t="shared" si="5"/>
        <v>84.20843672456576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399.58</v>
      </c>
      <c r="E32" s="104"/>
      <c r="F32" s="101">
        <f t="shared" si="0"/>
        <v>444.1400000000004</v>
      </c>
      <c r="G32" s="36"/>
      <c r="H32" s="36">
        <f t="shared" si="1"/>
        <v>11.600888076270088</v>
      </c>
      <c r="I32" s="101">
        <f>IF($F$6=0,"-",SUM($H$27:H32))</f>
        <v>27.39245135170433</v>
      </c>
      <c r="J32" s="33">
        <f t="shared" si="5"/>
        <v>72.60754864829568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297.82</v>
      </c>
      <c r="E33" s="104"/>
      <c r="F33" s="101">
        <f t="shared" si="0"/>
        <v>297.82</v>
      </c>
      <c r="G33" s="36"/>
      <c r="H33" s="36">
        <f t="shared" si="1"/>
        <v>7.779025728091942</v>
      </c>
      <c r="I33" s="101">
        <f>IF($F$6=0,"-",SUM($H$27:H33))</f>
        <v>35.171477079796276</v>
      </c>
      <c r="J33" s="33">
        <f t="shared" si="5"/>
        <v>64.82852292020374</v>
      </c>
      <c r="K33" s="42"/>
      <c r="L33" s="126">
        <f t="shared" si="2"/>
        <v>2.951747341658501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336.11</v>
      </c>
      <c r="E34" s="104"/>
      <c r="F34" s="101">
        <f t="shared" si="0"/>
        <v>336.11</v>
      </c>
      <c r="G34" s="36"/>
      <c r="H34" s="36">
        <f t="shared" si="1"/>
        <v>8.779156327543424</v>
      </c>
      <c r="I34" s="101">
        <f>IF($F$6=0,"-",SUM($H$27:H34))</f>
        <v>43.9506334073397</v>
      </c>
      <c r="J34" s="33">
        <f t="shared" si="5"/>
        <v>56.04936659266031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162.57</v>
      </c>
      <c r="E35" s="104"/>
      <c r="F35" s="101">
        <f t="shared" si="0"/>
        <v>162.57</v>
      </c>
      <c r="G35" s="36"/>
      <c r="H35" s="36">
        <f t="shared" si="1"/>
        <v>4.246310565495625</v>
      </c>
      <c r="I35" s="101">
        <f>IF($F$6=0,"-",SUM($H$27:H35))</f>
        <v>48.19694397283533</v>
      </c>
      <c r="J35" s="33">
        <f t="shared" si="5"/>
        <v>51.803056027164686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112.77</v>
      </c>
      <c r="E36" s="104"/>
      <c r="F36" s="101">
        <f t="shared" si="0"/>
        <v>112.77</v>
      </c>
      <c r="G36" s="36"/>
      <c r="H36" s="36">
        <f t="shared" si="1"/>
        <v>2.9455400287318794</v>
      </c>
      <c r="I36" s="101">
        <f>IF($F$6=0,"-",SUM($H$27:H36))</f>
        <v>51.142484001567205</v>
      </c>
      <c r="J36" s="33">
        <f t="shared" si="5"/>
        <v>48.85751599843281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128.3</v>
      </c>
      <c r="E37" s="104"/>
      <c r="F37" s="101">
        <f t="shared" si="0"/>
        <v>128.3</v>
      </c>
      <c r="G37" s="36"/>
      <c r="H37" s="36">
        <f t="shared" si="1"/>
        <v>3.3511819250359154</v>
      </c>
      <c r="I37" s="101">
        <f>IF($F$6=0,"-",SUM($H$27:H37))</f>
        <v>54.49366592660312</v>
      </c>
      <c r="J37" s="33">
        <f t="shared" si="5"/>
        <v>45.50633407339689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162.68</v>
      </c>
      <c r="E38" s="104"/>
      <c r="F38" s="101">
        <f t="shared" si="0"/>
        <v>162.68</v>
      </c>
      <c r="G38" s="36"/>
      <c r="H38" s="36">
        <f t="shared" si="1"/>
        <v>4.249183753428236</v>
      </c>
      <c r="I38" s="101">
        <f>IF($F$6=0,"-",SUM($H$27:H38))</f>
        <v>58.742849680031355</v>
      </c>
      <c r="J38" s="33">
        <f t="shared" si="5"/>
        <v>41.25715031996866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202.85</v>
      </c>
      <c r="E39" s="104"/>
      <c r="F39" s="101">
        <f t="shared" si="0"/>
        <v>202.85</v>
      </c>
      <c r="G39" s="36"/>
      <c r="H39" s="36">
        <f t="shared" si="1"/>
        <v>5.298419746637064</v>
      </c>
      <c r="I39" s="101">
        <f>IF($F$6=0,"-",SUM($H$27:H39))</f>
        <v>64.04126942666842</v>
      </c>
      <c r="J39" s="33">
        <f t="shared" si="5"/>
        <v>35.95873057333159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0.03439661247402561</v>
      </c>
      <c r="N39" s="131">
        <f>IF(AND(J39&gt;=10,J40&lt;=10),10^(LOG10(C38)-(J38-10)*(LOG10(C38)-LOG10(C39))/(J38-J39)),0)</f>
        <v>0.002513128093491679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7.18</v>
      </c>
      <c r="E40" s="38"/>
      <c r="F40" s="106">
        <f>IF($F$6=0,"-",F20)</f>
        <v>1376.68</v>
      </c>
      <c r="G40" s="58"/>
      <c r="H40" s="36">
        <f t="shared" si="1"/>
        <v>35.95873057333159</v>
      </c>
      <c r="I40" s="101">
        <f>IF($F$6=0,"-",SUM($H$27:H40))</f>
        <v>100.00000000000001</v>
      </c>
      <c r="J40" s="33">
        <f t="shared" si="5"/>
        <v>0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2414.4399999999996</v>
      </c>
      <c r="E41" s="108"/>
      <c r="F41" s="109">
        <f>IF($F$6=0,"-",SUM(F27:F40))</f>
        <v>3828.5</v>
      </c>
      <c r="G41" s="107"/>
      <c r="H41" s="23">
        <f>IF($F$6=0,"-",SUM(H27:H40))</f>
        <v>100.00000000000001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94.8081494057725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89.1255060728745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84.20843672456576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72.60754864829568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64.82852292020374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56.04936659266031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51.803056027164686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48.85751599843281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45.50633407339689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41.25715031996866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35.95873057333159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9" sqref="F39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0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8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9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6" ht="13.5" thickBot="1">
      <c r="A5" s="72" t="s">
        <v>128</v>
      </c>
      <c r="B5" s="50"/>
      <c r="C5" s="49"/>
      <c r="D5" s="341"/>
      <c r="E5" s="337">
        <v>1</v>
      </c>
      <c r="F5" s="337">
        <v>2</v>
      </c>
    </row>
    <row r="6" ht="13.5" thickBot="1"/>
    <row r="7" spans="1:6" ht="13.5" thickBot="1">
      <c r="A7" s="72" t="s">
        <v>20</v>
      </c>
      <c r="B7" s="50"/>
      <c r="C7" s="49"/>
      <c r="D7" s="351"/>
      <c r="E7" s="336"/>
      <c r="F7" s="336"/>
    </row>
    <row r="8" spans="1:6" ht="12.75">
      <c r="A8" s="348">
        <v>1</v>
      </c>
      <c r="B8" s="445" t="s">
        <v>21</v>
      </c>
      <c r="C8" s="446"/>
      <c r="D8" s="349"/>
      <c r="E8" s="350">
        <v>42</v>
      </c>
      <c r="F8" s="350">
        <v>206</v>
      </c>
    </row>
    <row r="9" spans="1:6" ht="12.75">
      <c r="A9" s="342">
        <v>2</v>
      </c>
      <c r="B9" s="447" t="s">
        <v>22</v>
      </c>
      <c r="C9" s="448"/>
      <c r="D9" s="343" t="s">
        <v>23</v>
      </c>
      <c r="E9" s="200">
        <v>196.32</v>
      </c>
      <c r="F9" s="200">
        <v>191.26</v>
      </c>
    </row>
    <row r="10" spans="1:6" ht="12.75">
      <c r="A10" s="342">
        <v>3</v>
      </c>
      <c r="B10" s="447" t="s">
        <v>24</v>
      </c>
      <c r="C10" s="448"/>
      <c r="D10" s="343" t="s">
        <v>23</v>
      </c>
      <c r="E10" s="200">
        <v>513.92</v>
      </c>
      <c r="F10" s="200">
        <v>629.84</v>
      </c>
    </row>
    <row r="11" spans="1:6" ht="12.75">
      <c r="A11" s="342">
        <v>4</v>
      </c>
      <c r="B11" s="449" t="s">
        <v>25</v>
      </c>
      <c r="C11" s="450"/>
      <c r="D11" s="343" t="s">
        <v>23</v>
      </c>
      <c r="E11" s="200">
        <v>479</v>
      </c>
      <c r="F11" s="200">
        <v>584.41</v>
      </c>
    </row>
    <row r="12" spans="1:6" ht="12.75">
      <c r="A12" s="342">
        <v>5</v>
      </c>
      <c r="B12" s="447" t="s">
        <v>26</v>
      </c>
      <c r="C12" s="448"/>
      <c r="D12" s="343" t="s">
        <v>23</v>
      </c>
      <c r="E12" s="355">
        <f>IF(E8=0,"-",E10-E11)</f>
        <v>34.91999999999996</v>
      </c>
      <c r="F12" s="355">
        <f>IF(F8=0,"-",F10-F11)</f>
        <v>45.430000000000064</v>
      </c>
    </row>
    <row r="13" spans="1:6" ht="12.75">
      <c r="A13" s="342">
        <v>6</v>
      </c>
      <c r="B13" s="447" t="s">
        <v>27</v>
      </c>
      <c r="C13" s="448"/>
      <c r="D13" s="343" t="s">
        <v>23</v>
      </c>
      <c r="E13" s="355">
        <f>IF(E8=0,"-",E11-E9)</f>
        <v>282.68</v>
      </c>
      <c r="F13" s="355">
        <f>IF(F8=0,"-",F11-F9)</f>
        <v>393.15</v>
      </c>
    </row>
    <row r="14" spans="1:6" ht="13.5" thickBot="1">
      <c r="A14" s="344">
        <v>7</v>
      </c>
      <c r="B14" s="443" t="s">
        <v>28</v>
      </c>
      <c r="C14" s="444"/>
      <c r="D14" s="345" t="s">
        <v>29</v>
      </c>
      <c r="E14" s="356">
        <f>IF(E8=0,"-",100*E12/E13)</f>
        <v>12.353190887222286</v>
      </c>
      <c r="F14" s="356">
        <f>IF(F8=0,"-",100*F12/F13)</f>
        <v>11.555385984993022</v>
      </c>
    </row>
    <row r="15" spans="1:6" ht="13.5" thickBot="1">
      <c r="A15" s="346">
        <v>8</v>
      </c>
      <c r="B15" s="451" t="s">
        <v>129</v>
      </c>
      <c r="C15" s="452"/>
      <c r="D15" s="347" t="s">
        <v>29</v>
      </c>
      <c r="E15" s="453">
        <f>+SUM(E14:F14)/2</f>
        <v>11.954288436107653</v>
      </c>
      <c r="F15" s="454"/>
    </row>
    <row r="16" ht="13.5" thickBot="1"/>
    <row r="17" spans="1:7" ht="13.5" thickBot="1">
      <c r="A17" s="72" t="s">
        <v>130</v>
      </c>
      <c r="B17" s="50"/>
      <c r="C17" s="49"/>
      <c r="D17" s="341"/>
      <c r="E17" s="336"/>
      <c r="F17" s="336"/>
      <c r="G17" s="336"/>
    </row>
    <row r="18" spans="1:7" ht="13.5" thickBot="1">
      <c r="A18" s="348">
        <v>1</v>
      </c>
      <c r="B18" s="455" t="s">
        <v>132</v>
      </c>
      <c r="C18" s="446"/>
      <c r="D18" s="349" t="s">
        <v>109</v>
      </c>
      <c r="E18" s="427"/>
      <c r="F18" s="428"/>
      <c r="G18" s="429">
        <v>0.87</v>
      </c>
    </row>
    <row r="19" spans="1:7" ht="13.5" thickBot="1">
      <c r="A19" s="348">
        <v>2</v>
      </c>
      <c r="B19" s="455" t="s">
        <v>133</v>
      </c>
      <c r="C19" s="446"/>
      <c r="D19" s="349"/>
      <c r="E19" s="430"/>
      <c r="F19" s="431"/>
      <c r="G19" s="432">
        <v>1.0015337</v>
      </c>
    </row>
    <row r="20" spans="1:7" ht="12.75">
      <c r="A20" s="348">
        <v>3</v>
      </c>
      <c r="B20" s="455" t="s">
        <v>134</v>
      </c>
      <c r="C20" s="446"/>
      <c r="D20" s="352" t="s">
        <v>23</v>
      </c>
      <c r="E20" s="433">
        <v>1040.12</v>
      </c>
      <c r="F20" s="433">
        <v>739.64</v>
      </c>
      <c r="G20" s="433">
        <v>596.73</v>
      </c>
    </row>
    <row r="21" spans="1:7" ht="12.75">
      <c r="A21" s="348">
        <v>4</v>
      </c>
      <c r="B21" s="449" t="s">
        <v>135</v>
      </c>
      <c r="C21" s="448"/>
      <c r="D21" s="352" t="s">
        <v>23</v>
      </c>
      <c r="E21" s="200">
        <v>1113.77</v>
      </c>
      <c r="F21" s="200">
        <v>786.54</v>
      </c>
      <c r="G21" s="200">
        <v>630.81</v>
      </c>
    </row>
    <row r="22" spans="1:7" ht="12.75">
      <c r="A22" s="348">
        <v>5</v>
      </c>
      <c r="B22" s="449" t="s">
        <v>137</v>
      </c>
      <c r="C22" s="448"/>
      <c r="D22" s="352" t="s">
        <v>92</v>
      </c>
      <c r="E22" s="200">
        <v>578</v>
      </c>
      <c r="F22" s="200">
        <v>400</v>
      </c>
      <c r="G22" s="200">
        <v>315</v>
      </c>
    </row>
    <row r="23" spans="1:7" ht="12.75">
      <c r="A23" s="348">
        <v>6</v>
      </c>
      <c r="B23" s="449" t="s">
        <v>136</v>
      </c>
      <c r="C23" s="450"/>
      <c r="D23" s="352" t="s">
        <v>23</v>
      </c>
      <c r="E23" s="354">
        <f>+IF($E$20=0,"-",E21-E20)</f>
        <v>73.65000000000009</v>
      </c>
      <c r="F23" s="354">
        <f>+IF($E$20=0,"-",F21-F20)</f>
        <v>46.89999999999998</v>
      </c>
      <c r="G23" s="354">
        <f>+IF($E$20=0,"-",G21-G20)</f>
        <v>34.07999999999993</v>
      </c>
    </row>
    <row r="24" spans="1:7" ht="12.75">
      <c r="A24" s="348">
        <v>7</v>
      </c>
      <c r="B24" s="449" t="s">
        <v>138</v>
      </c>
      <c r="C24" s="448"/>
      <c r="D24" s="352" t="s">
        <v>92</v>
      </c>
      <c r="E24" s="354">
        <f>+IF($E$20=0,"-",E22-$G$19)</f>
        <v>576.9984663</v>
      </c>
      <c r="F24" s="354">
        <f>+IF($E$20=0,"-",F22-$G$19)</f>
        <v>398.9984663</v>
      </c>
      <c r="G24" s="354">
        <f>+IF($E$20=0,"-",G22-$G$19)</f>
        <v>313.9984663</v>
      </c>
    </row>
    <row r="25" spans="1:7" ht="12.75">
      <c r="A25" s="348">
        <v>8</v>
      </c>
      <c r="B25" s="449" t="s">
        <v>139</v>
      </c>
      <c r="C25" s="448"/>
      <c r="D25" s="352" t="s">
        <v>92</v>
      </c>
      <c r="E25" s="354">
        <f>+IF($E$20=0,"-",E23/$G$18)</f>
        <v>84.65517241379321</v>
      </c>
      <c r="F25" s="354">
        <f>+IF($E$20=0,"-",F23/$G$18)</f>
        <v>53.90804597701147</v>
      </c>
      <c r="G25" s="354">
        <f>+IF($E$20=0,"-",G23/$G$18)</f>
        <v>39.17241379310337</v>
      </c>
    </row>
    <row r="26" spans="1:7" ht="12.75">
      <c r="A26" s="344">
        <v>9</v>
      </c>
      <c r="B26" s="456" t="s">
        <v>140</v>
      </c>
      <c r="C26" s="444"/>
      <c r="D26" s="353" t="s">
        <v>92</v>
      </c>
      <c r="E26" s="354">
        <f>+IF($E$20=0,"-",E24-E23)</f>
        <v>503.3484662999999</v>
      </c>
      <c r="F26" s="354">
        <f>+IF($E$20=0,"-",F24-F23)</f>
        <v>352.09846630000004</v>
      </c>
      <c r="G26" s="354">
        <f>+IF($E$20=0,"-",G24-G23)</f>
        <v>279.9184663000001</v>
      </c>
    </row>
    <row r="27" spans="1:7" ht="13.5" thickBot="1">
      <c r="A27" s="344">
        <v>10</v>
      </c>
      <c r="B27" s="443" t="s">
        <v>141</v>
      </c>
      <c r="C27" s="444"/>
      <c r="D27" s="353" t="s">
        <v>109</v>
      </c>
      <c r="E27" s="357">
        <f>+IF($E$20=0,"-",E20/E26)</f>
        <v>2.066401448773025</v>
      </c>
      <c r="F27" s="357">
        <f>+IF($E$20=0,"-",F20/F26)</f>
        <v>2.10066237371736</v>
      </c>
      <c r="G27" s="357">
        <f>+IF($E$20=0,"-",G20/G26)</f>
        <v>2.131799333883389</v>
      </c>
    </row>
    <row r="28" spans="1:7" ht="13.5" thickBot="1">
      <c r="A28" s="346">
        <v>11</v>
      </c>
      <c r="B28" s="451" t="s">
        <v>142</v>
      </c>
      <c r="C28" s="452"/>
      <c r="D28" s="347" t="s">
        <v>109</v>
      </c>
      <c r="E28" s="434"/>
      <c r="F28" s="435"/>
      <c r="G28" s="436">
        <f>+AVERAGE(E27:G27)</f>
        <v>2.0996210521245913</v>
      </c>
    </row>
    <row r="29" ht="13.5" thickBot="1"/>
    <row r="30" spans="1:5" ht="13.5" thickBot="1">
      <c r="A30" s="72" t="s">
        <v>131</v>
      </c>
      <c r="B30" s="50"/>
      <c r="C30" s="49"/>
      <c r="D30" s="341"/>
      <c r="E30" s="336"/>
    </row>
    <row r="31" spans="1:5" ht="12.75">
      <c r="A31" s="438">
        <v>1</v>
      </c>
      <c r="B31" s="457" t="s">
        <v>143</v>
      </c>
      <c r="C31" s="458"/>
      <c r="D31" s="439"/>
      <c r="E31" s="350">
        <v>2</v>
      </c>
    </row>
    <row r="32" spans="1:5" ht="12.75">
      <c r="A32" s="342">
        <v>2</v>
      </c>
      <c r="B32" s="449" t="s">
        <v>144</v>
      </c>
      <c r="C32" s="448"/>
      <c r="D32" s="343" t="s">
        <v>23</v>
      </c>
      <c r="E32" s="200">
        <v>344.67</v>
      </c>
    </row>
    <row r="33" spans="1:5" ht="12.75">
      <c r="A33" s="342">
        <v>3</v>
      </c>
      <c r="B33" s="449" t="s">
        <v>145</v>
      </c>
      <c r="C33" s="448"/>
      <c r="D33" s="343" t="s">
        <v>23</v>
      </c>
      <c r="E33" s="200">
        <v>395.44</v>
      </c>
    </row>
    <row r="34" spans="1:5" ht="12.75">
      <c r="A34" s="342">
        <v>4</v>
      </c>
      <c r="B34" s="449" t="s">
        <v>75</v>
      </c>
      <c r="C34" s="450"/>
      <c r="D34" s="343"/>
      <c r="E34" s="198">
        <v>1</v>
      </c>
    </row>
    <row r="35" spans="1:5" ht="12.75">
      <c r="A35" s="342">
        <v>5</v>
      </c>
      <c r="B35" s="449" t="s">
        <v>22</v>
      </c>
      <c r="C35" s="448"/>
      <c r="D35" s="343" t="s">
        <v>23</v>
      </c>
      <c r="E35" s="200">
        <v>174.57</v>
      </c>
    </row>
    <row r="36" spans="1:5" ht="12.75">
      <c r="A36" s="342">
        <v>6</v>
      </c>
      <c r="B36" s="449" t="s">
        <v>25</v>
      </c>
      <c r="C36" s="448"/>
      <c r="D36" s="343" t="s">
        <v>23</v>
      </c>
      <c r="E36" s="200">
        <v>259.28</v>
      </c>
    </row>
    <row r="37" spans="1:5" ht="12.75">
      <c r="A37" s="344">
        <v>7</v>
      </c>
      <c r="B37" s="449" t="s">
        <v>146</v>
      </c>
      <c r="C37" s="448"/>
      <c r="D37" s="343" t="s">
        <v>23</v>
      </c>
      <c r="E37" s="358">
        <f>+E36-E35</f>
        <v>84.70999999999998</v>
      </c>
    </row>
    <row r="38" spans="1:5" ht="13.5" thickBot="1">
      <c r="A38" s="440">
        <v>8</v>
      </c>
      <c r="B38" s="459" t="s">
        <v>147</v>
      </c>
      <c r="C38" s="460"/>
      <c r="D38" s="441"/>
      <c r="E38" s="102">
        <f>+E37/(E32-E33+E37)</f>
        <v>2.4958750736593984</v>
      </c>
    </row>
  </sheetData>
  <sheetProtection/>
  <mergeCells count="28">
    <mergeCell ref="B35:C35"/>
    <mergeCell ref="B36:C36"/>
    <mergeCell ref="B38:C38"/>
    <mergeCell ref="B24:C24"/>
    <mergeCell ref="B25:C25"/>
    <mergeCell ref="B26:C26"/>
    <mergeCell ref="B28:C28"/>
    <mergeCell ref="B27:C27"/>
    <mergeCell ref="B37:C37"/>
    <mergeCell ref="B31:C31"/>
    <mergeCell ref="B32:C32"/>
    <mergeCell ref="B33:C33"/>
    <mergeCell ref="B34:C34"/>
    <mergeCell ref="B15:C15"/>
    <mergeCell ref="E15:F15"/>
    <mergeCell ref="B20:C20"/>
    <mergeCell ref="B21:C21"/>
    <mergeCell ref="B22:C22"/>
    <mergeCell ref="B23:C23"/>
    <mergeCell ref="B18:C18"/>
    <mergeCell ref="B19:C19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">
      <selection activeCell="D9" sqref="D9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C2-M1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12</v>
      </c>
      <c r="E8" s="195">
        <v>20</v>
      </c>
      <c r="F8" s="196">
        <v>32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26</v>
      </c>
      <c r="E9" s="198">
        <v>18</v>
      </c>
      <c r="F9" s="199">
        <v>30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20.75</v>
      </c>
      <c r="E10" s="200">
        <v>20.95</v>
      </c>
      <c r="F10" s="55">
        <v>20.01</v>
      </c>
      <c r="G10" s="200">
        <v>20.8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44.26</v>
      </c>
      <c r="E11" s="200">
        <v>44.23</v>
      </c>
      <c r="F11" s="55">
        <v>46.01</v>
      </c>
      <c r="G11" s="200">
        <v>44.67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39.65</v>
      </c>
      <c r="E12" s="200">
        <v>39.47</v>
      </c>
      <c r="F12" s="55">
        <v>40.93</v>
      </c>
      <c r="G12" s="200">
        <v>39.46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4.609999999999999</v>
      </c>
      <c r="E13" s="165">
        <f>+E11-E12</f>
        <v>4.759999999999998</v>
      </c>
      <c r="F13" s="165">
        <f>+F11-F12</f>
        <v>5.079999999999998</v>
      </c>
      <c r="G13" s="165">
        <f>+G11-G12</f>
        <v>5.210000000000001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18.9</v>
      </c>
      <c r="E14" s="166">
        <f>+E12-E10</f>
        <v>18.52</v>
      </c>
      <c r="F14" s="166">
        <f>+F12-F10</f>
        <v>20.919999999999998</v>
      </c>
      <c r="G14" s="166">
        <f>+G12-G10</f>
        <v>18.66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24.39153439153439</v>
      </c>
      <c r="E15" s="57">
        <f>+(E13/E14)*100</f>
        <v>25.70194384449243</v>
      </c>
      <c r="F15" s="57">
        <f>+(F13/F14)*100</f>
        <v>24.282982791586992</v>
      </c>
      <c r="G15" s="57">
        <f>+(G13/G14)*100</f>
        <v>27.920685959271175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24.8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3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4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5">
        <v>24.8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2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1">
        <v>28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20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8">
        <f>+L22</f>
        <v>24.8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9">
        <f>+L22</f>
        <v>24.8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26</v>
      </c>
      <c r="M35" s="283">
        <f>IF($G$16="NP",1,D15)</f>
        <v>24.39153439153439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2</v>
      </c>
      <c r="E36" s="202">
        <v>3</v>
      </c>
      <c r="F36" s="53">
        <v>7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18</v>
      </c>
      <c r="M36" s="285">
        <f>IF($G$16="NP",1,E15)</f>
        <v>25.70194384449243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20.54</v>
      </c>
      <c r="E37" s="200">
        <v>19.29</v>
      </c>
      <c r="F37" s="55">
        <v>21.16</v>
      </c>
      <c r="G37" s="200">
        <v>20.15</v>
      </c>
      <c r="I37" s="170">
        <v>16</v>
      </c>
      <c r="J37" s="171">
        <v>7</v>
      </c>
      <c r="L37" s="289">
        <f>IF(OR(F9=0,$G$16="NP"),1,F9)</f>
        <v>30</v>
      </c>
      <c r="M37" s="285">
        <f>IF($G$16="NP",1,F15)</f>
        <v>24.282982791586992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22.85</v>
      </c>
      <c r="E38" s="200">
        <v>20.53</v>
      </c>
      <c r="F38" s="55">
        <v>22.55</v>
      </c>
      <c r="G38" s="200">
        <v>21.41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27.920685959271175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22.54</v>
      </c>
      <c r="E39" s="200">
        <v>20.35</v>
      </c>
      <c r="F39" s="55">
        <v>22.37</v>
      </c>
      <c r="G39" s="200">
        <v>21.24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0.3100000000000023</v>
      </c>
      <c r="E40" s="56">
        <f>+E38-E39</f>
        <v>0.17999999999999972</v>
      </c>
      <c r="F40" s="56">
        <f>+F38-F39</f>
        <v>0.17999999999999972</v>
      </c>
      <c r="G40" s="56">
        <f>+G38-G39</f>
        <v>0.1700000000000017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</v>
      </c>
      <c r="E41" s="56">
        <f>+E39-E37</f>
        <v>1.0600000000000023</v>
      </c>
      <c r="F41" s="56">
        <f>+F39-F37</f>
        <v>1.2100000000000009</v>
      </c>
      <c r="G41" s="56">
        <f>+G39-G37</f>
        <v>1.0899999999999999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15.500000000000114</v>
      </c>
      <c r="E42" s="57">
        <f>+(E40/E41)*100</f>
        <v>16.981132075471635</v>
      </c>
      <c r="F42" s="57">
        <f>+(F40/F41)*100</f>
        <v>14.876033057851206</v>
      </c>
      <c r="G42" s="57">
        <f>+(G40/G41)*100</f>
        <v>15.596330275229517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15.738373852138118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20</v>
      </c>
      <c r="J47" s="177">
        <f>IF(OR(L25="NP",G43="NP"),"NP",L25-G43)</f>
        <v>4.261626147861882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28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4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4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4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4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5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6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4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4" t="str">
        <f>DATOS!C11</f>
        <v>C2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4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7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4">
        <f>DATOS!C13</f>
        <v>2.6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4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9">
        <f>GRANULOM!J27</f>
        <v>100</v>
      </c>
      <c r="F17" s="370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1">
        <f>GRANULOM!J28</f>
        <v>100</v>
      </c>
      <c r="F18" s="372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1">
        <f>GRANULOM!J29</f>
        <v>94.8081494057725</v>
      </c>
      <c r="F19" s="364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1">
        <f>GRANULOM!J30</f>
        <v>89.1255060728745</v>
      </c>
      <c r="F20" s="364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1">
        <f>GRANULOM!J31</f>
        <v>84.20843672456576</v>
      </c>
      <c r="F21" s="364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1">
        <f>GRANULOM!J32</f>
        <v>72.60754864829568</v>
      </c>
      <c r="F22" s="364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1">
        <f>GRANULOM!J33</f>
        <v>64.82852292020374</v>
      </c>
      <c r="F23" s="364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1">
        <f>GRANULOM!J34</f>
        <v>56.04936659266031</v>
      </c>
      <c r="F24" s="364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1">
        <f>GRANULOM!J35</f>
        <v>51.803056027164686</v>
      </c>
      <c r="F25" s="364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1">
        <f>GRANULOM!J36</f>
        <v>48.85751599843281</v>
      </c>
      <c r="F26" s="364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1">
        <f>GRANULOM!J37</f>
        <v>45.50633407339689</v>
      </c>
      <c r="F27" s="364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1">
        <f>GRANULOM!J38</f>
        <v>41.25715031996866</v>
      </c>
      <c r="F28" s="364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3">
        <f>GRANULOM!J39</f>
        <v>35.95873057333159</v>
      </c>
      <c r="F29" s="363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7">
        <f>GRANULOM!J18</f>
        <v>0.002513128093491679</v>
      </c>
      <c r="E30" s="248" t="s">
        <v>104</v>
      </c>
      <c r="F30" s="365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5">
        <f>GRANULOM!J19</f>
        <v>0.03439661247402561</v>
      </c>
      <c r="E31" s="240" t="s">
        <v>106</v>
      </c>
      <c r="F31" s="366">
        <f>GRANULOM!J22</f>
        <v>0.1594914994893612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8">
        <f>GRANULOM!J20</f>
        <v>2.951747341658501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224</v>
      </c>
      <c r="B34" s="259"/>
      <c r="C34" s="260"/>
      <c r="D34" s="261"/>
      <c r="E34" s="437">
        <f>+'W%, P.ESPEC, P.ESP.RELAT'!E38</f>
        <v>2.4958750736593984</v>
      </c>
      <c r="F34" s="360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9">
        <f>+'W%, P.ESPEC, P.ESP.RELAT'!G28</f>
        <v>2.0996210521245913</v>
      </c>
      <c r="F35" s="360"/>
      <c r="G35" s="235"/>
      <c r="H35" s="235"/>
      <c r="I35" s="235"/>
      <c r="J35" s="235"/>
      <c r="K35" s="235"/>
    </row>
    <row r="36" spans="1:13" ht="12.75" customHeight="1" thickBot="1">
      <c r="A36" s="258" t="s">
        <v>110</v>
      </c>
      <c r="B36" s="259"/>
      <c r="C36" s="260"/>
      <c r="D36" s="261" t="s">
        <v>29</v>
      </c>
      <c r="E36" s="361">
        <f>GRANULOM!F12</f>
        <v>11.949849810630795</v>
      </c>
      <c r="F36" s="360"/>
      <c r="G36" s="235"/>
      <c r="H36" s="235"/>
      <c r="I36" s="235"/>
      <c r="J36" s="235"/>
      <c r="K36" s="235"/>
      <c r="M36" s="442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1">
        <f>LIMITES!G16</f>
        <v>24.8</v>
      </c>
      <c r="F37" s="360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2">
        <f>LIMITES!G43</f>
        <v>15.738373852138118</v>
      </c>
      <c r="F38" s="363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2">
        <f>+E37-E38</f>
        <v>9.061626147861883</v>
      </c>
      <c r="F39" s="364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186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F1">
      <selection activeCell="L13" sqref="L13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80"/>
      <c r="B1" s="461" t="s">
        <v>151</v>
      </c>
      <c r="C1" s="461"/>
      <c r="D1" s="461"/>
      <c r="E1" s="461"/>
      <c r="F1" s="461"/>
      <c r="G1" s="461"/>
      <c r="H1" s="461"/>
      <c r="I1" s="380"/>
      <c r="J1" s="382"/>
    </row>
    <row r="2" spans="1:10" ht="12.75">
      <c r="A2" s="380"/>
      <c r="B2" s="381"/>
      <c r="C2" s="381"/>
      <c r="D2" s="381"/>
      <c r="E2" s="381"/>
      <c r="F2" s="381"/>
      <c r="G2" s="381"/>
      <c r="H2" s="381"/>
      <c r="I2" s="380"/>
      <c r="J2" s="382"/>
    </row>
    <row r="3" spans="1:12" ht="12.75">
      <c r="A3" s="380"/>
      <c r="B3" s="383" t="s">
        <v>152</v>
      </c>
      <c r="C3" s="384">
        <f>ROUND(RESUMEN!E29,2)</f>
        <v>35.96</v>
      </c>
      <c r="D3" s="383" t="s">
        <v>153</v>
      </c>
      <c r="E3" s="385" t="str">
        <f>+RESUMEN!F30</f>
        <v>&gt; 99</v>
      </c>
      <c r="F3" s="380"/>
      <c r="G3" s="380"/>
      <c r="H3" s="381"/>
      <c r="I3" s="380"/>
      <c r="J3" s="382"/>
      <c r="K3" s="386" t="s">
        <v>154</v>
      </c>
      <c r="L3" s="386">
        <f>+IF(N_10="NP",0,N_10)</f>
        <v>24.8</v>
      </c>
    </row>
    <row r="4" spans="1:12" ht="15.75">
      <c r="A4" s="380"/>
      <c r="B4" s="383" t="s">
        <v>155</v>
      </c>
      <c r="C4" s="384">
        <f>RESUMEN!E23</f>
        <v>64.82852292020374</v>
      </c>
      <c r="D4" s="383" t="s">
        <v>156</v>
      </c>
      <c r="E4" s="384">
        <f>+RESUMEN!F31</f>
        <v>0.1594914994893612</v>
      </c>
      <c r="F4" s="387" t="s">
        <v>157</v>
      </c>
      <c r="G4" s="388" t="str">
        <f>+Q9</f>
        <v>GC</v>
      </c>
      <c r="H4" s="389"/>
      <c r="I4" s="380"/>
      <c r="J4" s="382"/>
      <c r="K4" s="386" t="s">
        <v>158</v>
      </c>
      <c r="L4" s="386">
        <f>+IF(C6="NP",0,C6)</f>
        <v>9.06</v>
      </c>
    </row>
    <row r="5" spans="1:12" ht="12.75">
      <c r="A5" s="380"/>
      <c r="B5" s="383" t="s">
        <v>159</v>
      </c>
      <c r="C5" s="384">
        <f>IF(RESUMEN!E37="NP","NP",ROUND(RESUMEN!E37,2))</f>
        <v>24.8</v>
      </c>
      <c r="D5" s="381"/>
      <c r="E5" s="381"/>
      <c r="F5" s="383"/>
      <c r="G5" s="381"/>
      <c r="H5" s="381"/>
      <c r="I5" s="380"/>
      <c r="J5" s="382"/>
      <c r="K5" s="390" t="s">
        <v>160</v>
      </c>
      <c r="L5" s="391" t="str">
        <f>IF(OR(E3="----",E3=""),0,E3)</f>
        <v>&gt; 99</v>
      </c>
    </row>
    <row r="6" spans="1:12" ht="12.75">
      <c r="A6" s="380"/>
      <c r="B6" s="383" t="s">
        <v>161</v>
      </c>
      <c r="C6" s="384">
        <f>IF(RESUMEN!E39="NP","NP",ROUND(RESUMEN!E39,2))</f>
        <v>9.06</v>
      </c>
      <c r="D6" s="381"/>
      <c r="E6" s="381"/>
      <c r="F6" s="383"/>
      <c r="G6" s="381"/>
      <c r="H6" s="381"/>
      <c r="I6" s="380"/>
      <c r="J6" s="382"/>
      <c r="K6" s="392" t="s">
        <v>162</v>
      </c>
      <c r="L6" s="391">
        <f>IF(OR(E4="----",E4=""),0,E4)</f>
        <v>0.1594914994893612</v>
      </c>
    </row>
    <row r="7" spans="1:10" ht="12.75">
      <c r="A7" s="380"/>
      <c r="B7" s="380"/>
      <c r="C7" s="381"/>
      <c r="D7" s="380"/>
      <c r="E7" s="380"/>
      <c r="F7" s="380"/>
      <c r="G7" s="380"/>
      <c r="H7" s="380"/>
      <c r="I7" s="380"/>
      <c r="J7" s="382"/>
    </row>
    <row r="8" spans="1:17" ht="45">
      <c r="A8" s="380"/>
      <c r="B8" s="462" t="s">
        <v>163</v>
      </c>
      <c r="C8" s="462"/>
      <c r="D8" s="462"/>
      <c r="E8" s="393" t="s">
        <v>164</v>
      </c>
      <c r="F8" s="394" t="s">
        <v>165</v>
      </c>
      <c r="G8" s="463" t="s">
        <v>166</v>
      </c>
      <c r="H8" s="463"/>
      <c r="I8" s="380"/>
      <c r="J8" s="382"/>
      <c r="L8" s="395" t="s">
        <v>167</v>
      </c>
      <c r="M8" s="489" t="s">
        <v>168</v>
      </c>
      <c r="N8" s="489"/>
      <c r="O8" s="396" t="s">
        <v>169</v>
      </c>
      <c r="P8" s="395" t="s">
        <v>170</v>
      </c>
      <c r="Q8" s="397" t="s">
        <v>171</v>
      </c>
    </row>
    <row r="9" spans="1:17" ht="39.75" customHeight="1">
      <c r="A9" s="380"/>
      <c r="B9" s="490" t="s">
        <v>172</v>
      </c>
      <c r="C9" s="466" t="s">
        <v>173</v>
      </c>
      <c r="D9" s="467" t="s">
        <v>174</v>
      </c>
      <c r="E9" s="398" t="s">
        <v>175</v>
      </c>
      <c r="F9" s="399" t="s">
        <v>176</v>
      </c>
      <c r="G9" s="493" t="s">
        <v>177</v>
      </c>
      <c r="H9" s="494"/>
      <c r="I9" s="380"/>
      <c r="J9" s="382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0"/>
      <c r="B10" s="490"/>
      <c r="C10" s="466"/>
      <c r="D10" s="467"/>
      <c r="E10" s="400" t="s">
        <v>178</v>
      </c>
      <c r="F10" s="401" t="s">
        <v>179</v>
      </c>
      <c r="G10" s="483" t="s">
        <v>180</v>
      </c>
      <c r="H10" s="484"/>
      <c r="I10" s="380"/>
      <c r="J10" s="382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0"/>
      <c r="B11" s="490"/>
      <c r="C11" s="466"/>
      <c r="D11" s="467" t="s">
        <v>181</v>
      </c>
      <c r="E11" s="400" t="s">
        <v>182</v>
      </c>
      <c r="F11" s="402" t="s">
        <v>183</v>
      </c>
      <c r="G11" s="403" t="s">
        <v>184</v>
      </c>
      <c r="H11" s="464" t="s">
        <v>185</v>
      </c>
      <c r="I11" s="380"/>
      <c r="J11" s="382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0"/>
      <c r="B12" s="490"/>
      <c r="C12" s="492"/>
      <c r="D12" s="467"/>
      <c r="E12" s="404" t="s">
        <v>186</v>
      </c>
      <c r="F12" s="401" t="s">
        <v>187</v>
      </c>
      <c r="G12" s="403" t="s">
        <v>188</v>
      </c>
      <c r="H12" s="465"/>
      <c r="I12" s="380"/>
      <c r="J12" s="382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0"/>
      <c r="B13" s="490"/>
      <c r="C13" s="466" t="s">
        <v>189</v>
      </c>
      <c r="D13" s="467" t="s">
        <v>190</v>
      </c>
      <c r="E13" s="405" t="s">
        <v>191</v>
      </c>
      <c r="F13" s="406" t="s">
        <v>192</v>
      </c>
      <c r="G13" s="487" t="s">
        <v>193</v>
      </c>
      <c r="H13" s="488"/>
      <c r="I13" s="380"/>
      <c r="J13" s="382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0"/>
      <c r="B14" s="490"/>
      <c r="C14" s="466"/>
      <c r="D14" s="467"/>
      <c r="E14" s="405" t="s">
        <v>194</v>
      </c>
      <c r="F14" s="406" t="s">
        <v>195</v>
      </c>
      <c r="G14" s="487" t="s">
        <v>196</v>
      </c>
      <c r="H14" s="488"/>
      <c r="I14" s="380"/>
      <c r="J14" s="382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0"/>
      <c r="B15" s="490"/>
      <c r="C15" s="466"/>
      <c r="D15" s="467" t="s">
        <v>197</v>
      </c>
      <c r="E15" s="405" t="s">
        <v>198</v>
      </c>
      <c r="F15" s="407" t="s">
        <v>199</v>
      </c>
      <c r="G15" s="408" t="s">
        <v>200</v>
      </c>
      <c r="H15" s="485" t="s">
        <v>201</v>
      </c>
      <c r="I15" s="380"/>
      <c r="J15" s="382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0"/>
      <c r="B16" s="491"/>
      <c r="C16" s="466"/>
      <c r="D16" s="467"/>
      <c r="E16" s="409" t="s">
        <v>202</v>
      </c>
      <c r="F16" s="407" t="s">
        <v>203</v>
      </c>
      <c r="G16" s="406" t="s">
        <v>204</v>
      </c>
      <c r="H16" s="486"/>
      <c r="I16" s="380"/>
      <c r="J16" s="382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0"/>
      <c r="B17" s="468" t="s">
        <v>205</v>
      </c>
      <c r="C17" s="471" t="s">
        <v>206</v>
      </c>
      <c r="D17" s="472"/>
      <c r="E17" s="410" t="s">
        <v>207</v>
      </c>
      <c r="F17" s="411" t="s">
        <v>208</v>
      </c>
      <c r="G17" s="477" t="s">
        <v>209</v>
      </c>
      <c r="H17" s="478"/>
      <c r="I17" s="380"/>
      <c r="J17" s="382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0"/>
      <c r="B18" s="469"/>
      <c r="C18" s="473"/>
      <c r="D18" s="474"/>
      <c r="E18" s="410" t="s">
        <v>210</v>
      </c>
      <c r="F18" s="411" t="s">
        <v>211</v>
      </c>
      <c r="G18" s="479"/>
      <c r="H18" s="480"/>
      <c r="I18" s="380"/>
      <c r="J18" s="382"/>
      <c r="L18">
        <f>IF(AND(N_200&gt;=50,Ll&lt;50,IP&gt;=7,IP&gt;=0.73*(Ll-20)),"CL","")</f>
      </c>
      <c r="P18">
        <f t="shared" si="0"/>
      </c>
    </row>
    <row r="19" spans="1:16" ht="39.75" customHeight="1">
      <c r="A19" s="380"/>
      <c r="B19" s="469"/>
      <c r="C19" s="475"/>
      <c r="D19" s="476"/>
      <c r="E19" s="410" t="s">
        <v>212</v>
      </c>
      <c r="F19" s="412" t="s">
        <v>213</v>
      </c>
      <c r="G19" s="413"/>
      <c r="H19" s="413"/>
      <c r="I19" s="380"/>
      <c r="J19" s="382"/>
      <c r="L19">
        <f>IF(AND(N_200&gt;=50,Ll&lt;50,IP&gt;=10,IP&lt;0.73*(Ll-20)),"OL","")</f>
      </c>
      <c r="P19">
        <f t="shared" si="0"/>
      </c>
    </row>
    <row r="20" spans="1:16" ht="39.75" customHeight="1">
      <c r="A20" s="380"/>
      <c r="B20" s="469"/>
      <c r="C20" s="473" t="s">
        <v>214</v>
      </c>
      <c r="D20" s="481"/>
      <c r="E20" s="414" t="s">
        <v>215</v>
      </c>
      <c r="F20" s="415" t="s">
        <v>216</v>
      </c>
      <c r="G20" s="380"/>
      <c r="H20" s="380"/>
      <c r="I20" s="380"/>
      <c r="J20" s="382"/>
      <c r="L20">
        <f>IF(AND(N_200&gt;=50,Ll&gt;=50,IP&gt;0,IP&lt;=16),"MH","")</f>
      </c>
      <c r="P20">
        <f t="shared" si="0"/>
      </c>
    </row>
    <row r="21" spans="1:16" ht="39.75" customHeight="1">
      <c r="A21" s="380"/>
      <c r="B21" s="469"/>
      <c r="C21" s="473"/>
      <c r="D21" s="481"/>
      <c r="E21" s="414" t="s">
        <v>217</v>
      </c>
      <c r="F21" s="415" t="s">
        <v>218</v>
      </c>
      <c r="G21" s="380"/>
      <c r="H21" s="380"/>
      <c r="I21" s="380"/>
      <c r="J21" s="382"/>
      <c r="L21">
        <f>IF(AND(N_200&gt;=50,Ll&gt;=50,IP&gt;=0.73*(Ll-20)),"CH","")</f>
      </c>
      <c r="P21">
        <f t="shared" si="0"/>
      </c>
    </row>
    <row r="22" spans="1:16" ht="39.75" customHeight="1">
      <c r="A22" s="380"/>
      <c r="B22" s="469"/>
      <c r="C22" s="475"/>
      <c r="D22" s="482"/>
      <c r="E22" s="416" t="s">
        <v>219</v>
      </c>
      <c r="F22" s="415" t="s">
        <v>220</v>
      </c>
      <c r="G22" s="380"/>
      <c r="H22" s="380"/>
      <c r="I22" s="380"/>
      <c r="J22" s="382"/>
      <c r="L22">
        <f>IF(AND(N_200&gt;=50,Ll&gt;=50,IP&gt;16,IP&lt;0.73*(Ll-20)),"OH","")</f>
      </c>
      <c r="P22">
        <f t="shared" si="0"/>
      </c>
    </row>
    <row r="23" spans="1:16" ht="39.75" customHeight="1">
      <c r="A23" s="380"/>
      <c r="B23" s="469"/>
      <c r="C23" s="471" t="s">
        <v>221</v>
      </c>
      <c r="D23" s="472"/>
      <c r="E23" s="417" t="s">
        <v>222</v>
      </c>
      <c r="F23" s="418" t="s">
        <v>223</v>
      </c>
      <c r="G23" s="380"/>
      <c r="H23" s="380"/>
      <c r="I23" s="380"/>
      <c r="J23" s="382"/>
      <c r="L23">
        <f>IF(AND(N_200&gt;=50,IP&gt;=0.73*(Ll-20),IP&gt;=4,IP&lt;7,IP&lt;0.9*(Ll-8)),"CL-ML","")</f>
      </c>
      <c r="P23">
        <f t="shared" si="0"/>
      </c>
    </row>
    <row r="24" spans="1:16" ht="12.75">
      <c r="A24" s="380"/>
      <c r="B24" s="470"/>
      <c r="C24" s="419"/>
      <c r="D24" s="420"/>
      <c r="E24" s="421"/>
      <c r="F24" s="422"/>
      <c r="G24" s="380"/>
      <c r="H24" s="380"/>
      <c r="I24" s="380"/>
      <c r="J24" s="382"/>
      <c r="P24">
        <f t="shared" si="0"/>
      </c>
    </row>
    <row r="25" spans="1:10" ht="12.75">
      <c r="A25" s="380"/>
      <c r="B25" s="423"/>
      <c r="C25" s="423"/>
      <c r="D25" s="423"/>
      <c r="E25" s="424"/>
      <c r="F25" s="425"/>
      <c r="G25" s="380"/>
      <c r="H25" s="380"/>
      <c r="I25" s="380"/>
      <c r="J25" s="382"/>
    </row>
    <row r="26" spans="1:10" ht="12.75">
      <c r="A26" s="380"/>
      <c r="B26" s="423"/>
      <c r="C26" s="423"/>
      <c r="D26" s="423"/>
      <c r="E26" s="426"/>
      <c r="F26" s="425"/>
      <c r="G26" s="380"/>
      <c r="H26" s="380"/>
      <c r="I26" s="380"/>
      <c r="J26" s="382"/>
    </row>
    <row r="27" spans="1:10" ht="12.75">
      <c r="A27" s="380"/>
      <c r="B27" s="380"/>
      <c r="C27" s="380"/>
      <c r="D27" s="380"/>
      <c r="E27" s="426"/>
      <c r="F27" s="425"/>
      <c r="G27" s="380"/>
      <c r="H27" s="380"/>
      <c r="I27" s="380"/>
      <c r="J27" s="382"/>
    </row>
    <row r="28" spans="1:10" ht="12.75">
      <c r="A28" s="380"/>
      <c r="B28" s="380"/>
      <c r="C28" s="380"/>
      <c r="D28" s="380"/>
      <c r="E28" s="426"/>
      <c r="F28" s="425"/>
      <c r="G28" s="380"/>
      <c r="H28" s="380"/>
      <c r="I28" s="380"/>
      <c r="J28" s="382"/>
    </row>
    <row r="29" spans="1:10" ht="12.75">
      <c r="A29" s="380"/>
      <c r="B29" s="380"/>
      <c r="C29" s="380"/>
      <c r="D29" s="380"/>
      <c r="E29" s="426"/>
      <c r="F29" s="425"/>
      <c r="G29" s="380"/>
      <c r="H29" s="380"/>
      <c r="I29" s="380"/>
      <c r="J29" s="382"/>
    </row>
  </sheetData>
  <sheetProtection/>
  <mergeCells count="22">
    <mergeCell ref="M8:N8"/>
    <mergeCell ref="B9:B16"/>
    <mergeCell ref="C9:C12"/>
    <mergeCell ref="D9:D10"/>
    <mergeCell ref="G9:H9"/>
    <mergeCell ref="B17:B24"/>
    <mergeCell ref="C17:D19"/>
    <mergeCell ref="G17:H18"/>
    <mergeCell ref="C20:D22"/>
    <mergeCell ref="C23:D23"/>
    <mergeCell ref="G10:H10"/>
    <mergeCell ref="D11:D12"/>
    <mergeCell ref="D15:D16"/>
    <mergeCell ref="H15:H16"/>
    <mergeCell ref="G13:H13"/>
    <mergeCell ref="B1:H1"/>
    <mergeCell ref="B8:D8"/>
    <mergeCell ref="G8:H8"/>
    <mergeCell ref="H11:H12"/>
    <mergeCell ref="C13:C16"/>
    <mergeCell ref="D13:D14"/>
    <mergeCell ref="G14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2007-08-21T23:42:04Z</cp:lastPrinted>
  <dcterms:created xsi:type="dcterms:W3CDTF">2001-12-11T20:36:57Z</dcterms:created>
  <dcterms:modified xsi:type="dcterms:W3CDTF">2009-07-12T05:53:15Z</dcterms:modified>
  <cp:category/>
  <cp:version/>
  <cp:contentType/>
  <cp:contentStatus/>
</cp:coreProperties>
</file>