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firstSheet="1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<sst xmlns="http://schemas.openxmlformats.org/spreadsheetml/2006/main" count="371" uniqueCount="225">
  <si>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</si>
  <si>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</si>
  <si>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</si>
  <si>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</si>
  <si>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</si>
  <si>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</si>
  <si>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</si>
  <si>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</si>
  <si>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</si>
  <si>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</si>
  <si>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</si>
  <si>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</si>
  <si>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</si>
  <si>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</si>
  <si>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</si>
  <si>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</si>
  <si>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</si>
  <si>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</si>
  <si>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</si>
  <si>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</si>
  <si>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</si>
  <si>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</si>
  <si>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</si>
  <si>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</si>
  <si>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</si>
  <si>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</si>
  <si>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</si>
  <si>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</si>
  <si>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</si>
  <si>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</si>
  <si>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</si>
  <si>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</si>
  <si>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</si>
  <si>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</si>
  <si>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</si>
  <si>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</si>
  <si>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</si>
  <si>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</si>
  <si>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</si>
  <si>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</si>
  <si>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</si>
  <si>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</si>
  <si>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</si>
  <si>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</si>
  <si>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</si>
  <si>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</si>
  <si>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</si>
  <si>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</si>
  <si>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</si>
  <si>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</si>
  <si>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</si>
  <si>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</si>
  <si>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</si>
  <si>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</si>
  <si>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</si>
  <si>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</si>
  <si>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</si>
  <si>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</si>
  <si>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</si>
  <si>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</si>
  <si>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</si>
  <si>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</si>
  <si>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</si>
  <si>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</si>
  <si>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</si>
  <si>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</si>
  <si>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</si>
  <si>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</si>
  <si>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</si>
  <si>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</si>
  <si>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</si>
  <si>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</si>
  <si>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</si>
  <si>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</si>
  <si>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</si>
  <si>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</si>
  <si>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</si>
  <si>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</si>
  <si>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</si>
  <si>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</si>
  <si>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</si>
  <si>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</si>
  <si>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</si>
  <si>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</si>
  <si>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</si>
  <si>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</si>
  <si>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</si>
  <si>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</si>
  <si>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</si>
  <si>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</si>
  <si>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</si>
  <si>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</si>
  <si>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</si>
  <si>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</si>
  <si>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</si>
  <si>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</si>
  <si>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</si>
  <si>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</si>
  <si>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</si>
  <si>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</si>
  <si>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</si>
  <si>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</si>
  <si>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</si>
  <si>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</si>
  <si>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</si>
  <si>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</si>
  <si>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</si>
  <si>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</si>
  <si>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</si>
  <si>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</si>
  <si>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</si>
  <si>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</si>
  <si>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</si>
  <si>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</si>
  <si>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</si>
  <si>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</si>
  <si>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</si>
  <si>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</si>
  <si>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</si>
  <si>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</si>
  <si>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</si>
  <si>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</si>
  <si>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</si>
  <si>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</si>
  <si>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</si>
  <si>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</si>
  <si>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</si>
  <si>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</si>
  <si>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</si>
  <si>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</si>
  <si>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</si>
  <si>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</si>
  <si>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</si>
  <si>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</si>
  <si>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</si>
  <si>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</si>
  <si>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</si>
  <si>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</si>
  <si>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</si>
  <si>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</si>
  <si>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</si>
  <si>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</si>
  <si>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</si>
  <si>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</si>
  <si>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</si>
  <si>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</si>
  <si>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</si>
  <si>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</si>
  <si>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</si>
  <si>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</si>
  <si>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</si>
  <si>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</si>
  <si>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</si>
  <si>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</si>
  <si>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</si>
  <si>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</si>
  <si>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</si>
  <si>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</si>
  <si>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</si>
  <si>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</si>
  <si>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</si>
  <si>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</si>
  <si>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</si>
  <si>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</si>
  <si>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</si>
  <si>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</si>
  <si>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</si>
  <si>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</si>
  <si>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</si>
  <si>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</si>
  <si>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</si>
  <si>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</si>
  <si>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</si>
  <si>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</si>
  <si>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</si>
  <si>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</si>
  <si>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</si>
  <si>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</si>
  <si>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</si>
  <si>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</si>
  <si>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</si>
  <si>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</si>
  <si>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</si>
  <si>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</si>
  <si>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</si>
  <si>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</si>
  <si>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</si>
  <si>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</si>
  <si>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</si>
  <si>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</si>
  <si>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</si>
  <si>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</si>
  <si>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</si>
  <si>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</si>
  <si>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</si>
  <si>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</si>
  <si>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</si>
  <si>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</si>
  <si>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</si>
  <si>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</si>
  <si>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</si>
  <si>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</si>
  <si>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</si>
  <si>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</si>
  <si>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</si>
  <si>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</si>
  <si>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</si>
  <si>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</si>
  <si>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</si>
  <si>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</si>
  <si>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</si>
  <si>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</si>
  <si>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</si>
  <si>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</si>
  <si>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</si>
  <si>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</si>
  <si>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</si>
  <si>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</si>
  <si>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</si>
  <si>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</si>
  <si>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</si>
  <si>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C3-M1</t>
  </si>
  <si>
    <t>LMS V</t>
  </si>
  <si>
    <t>PESO ESP. RELATIVO DE SOLIDOS (Gs)</t>
  </si>
  <si>
    <t>C3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</si>
</sst>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6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7" fillId="36" borderId="29" xfId="0" applyNumberFormat="1" applyFont="1" applyFill="1" applyBorder="1" applyAlignment="1" applyProtection="1">
      <alignment horizontal="right"/>
      <protection locked="0"/>
    </xf>
    <xf numFmtId="2" fontId="77" fillId="36" borderId="29" xfId="0" applyNumberFormat="1" applyFont="1" applyFill="1" applyBorder="1" applyAlignment="1" applyProtection="1">
      <alignment horizontal="right"/>
      <protection/>
    </xf>
    <xf numFmtId="2" fontId="77" fillId="36" borderId="32" xfId="0" applyNumberFormat="1" applyFont="1" applyFill="1" applyBorder="1" applyAlignment="1" applyProtection="1">
      <alignment horizontal="right"/>
      <protection/>
    </xf>
    <xf numFmtId="2" fontId="77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8" fillId="34" borderId="10" xfId="0" applyNumberFormat="1" applyFont="1" applyFill="1" applyBorder="1" applyAlignment="1" applyProtection="1">
      <alignment horizontal="centerContinuous"/>
      <protection locked="0"/>
    </xf>
    <xf numFmtId="2" fontId="78" fillId="34" borderId="15" xfId="0" applyNumberFormat="1" applyFont="1" applyFill="1" applyBorder="1" applyAlignment="1" applyProtection="1">
      <alignment horizontal="centerContinuous"/>
      <protection/>
    </xf>
    <xf numFmtId="2" fontId="78" fillId="34" borderId="10" xfId="0" applyNumberFormat="1" applyFont="1" applyFill="1" applyBorder="1" applyAlignment="1" applyProtection="1">
      <alignment horizontal="centerContinuous"/>
      <protection/>
    </xf>
    <xf numFmtId="2" fontId="78" fillId="34" borderId="38" xfId="0" applyNumberFormat="1" applyFont="1" applyFill="1" applyBorder="1" applyAlignment="1" applyProtection="1">
      <alignment horizontal="centerContinuous"/>
      <protection/>
    </xf>
    <xf numFmtId="2" fontId="78" fillId="34" borderId="14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right"/>
      <protection/>
    </xf>
    <xf numFmtId="2" fontId="78" fillId="34" borderId="40" xfId="0" applyNumberFormat="1" applyFont="1" applyFill="1" applyBorder="1" applyAlignment="1" applyProtection="1">
      <alignment horizontal="right"/>
      <protection/>
    </xf>
    <xf numFmtId="2" fontId="78" fillId="34" borderId="25" xfId="0" applyNumberFormat="1" applyFont="1" applyFill="1" applyBorder="1" applyAlignment="1" applyProtection="1">
      <alignment horizontal="right"/>
      <protection/>
    </xf>
    <xf numFmtId="2" fontId="78" fillId="34" borderId="14" xfId="0" applyNumberFormat="1" applyFont="1" applyFill="1" applyBorder="1" applyAlignment="1" applyProtection="1">
      <alignment horizontal="right"/>
      <protection/>
    </xf>
    <xf numFmtId="2" fontId="78" fillId="34" borderId="27" xfId="0" applyNumberFormat="1" applyFont="1" applyFill="1" applyBorder="1" applyAlignment="1" applyProtection="1">
      <alignment horizontal="centerContinuous"/>
      <protection/>
    </xf>
    <xf numFmtId="2" fontId="78" fillId="34" borderId="25" xfId="0" applyNumberFormat="1" applyFont="1" applyFill="1" applyBorder="1" applyAlignment="1" applyProtection="1">
      <alignment horizontal="centerContinuous"/>
      <protection/>
    </xf>
    <xf numFmtId="2" fontId="78" fillId="34" borderId="11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centerContinuous" wrapText="1"/>
      <protection/>
    </xf>
    <xf numFmtId="2" fontId="78" fillId="34" borderId="24" xfId="0" applyNumberFormat="1" applyFont="1" applyFill="1" applyBorder="1" applyAlignment="1" applyProtection="1">
      <alignment horizontal="centerContinuous"/>
      <protection/>
    </xf>
    <xf numFmtId="2" fontId="78" fillId="34" borderId="0" xfId="0" applyNumberFormat="1" applyFont="1" applyFill="1" applyBorder="1" applyAlignment="1" applyProtection="1">
      <alignment horizontal="left"/>
      <protection/>
    </xf>
    <xf numFmtId="49" fontId="78" fillId="34" borderId="0" xfId="0" applyNumberFormat="1" applyFont="1" applyFill="1" applyBorder="1" applyAlignment="1" applyProtection="1">
      <alignment horizontal="left"/>
      <protection/>
    </xf>
    <xf numFmtId="2" fontId="78" fillId="34" borderId="0" xfId="0" applyNumberFormat="1" applyFont="1" applyFill="1" applyBorder="1" applyAlignment="1" applyProtection="1">
      <alignment horizontal="centerContinuous"/>
      <protection/>
    </xf>
    <xf numFmtId="0" fontId="79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3" borderId="65" xfId="0" applyFont="1" applyFill="1" applyBorder="1" applyAlignment="1" applyProtection="1">
      <alignment horizontal="center"/>
      <protection/>
    </xf>
    <xf numFmtId="2" fontId="16" fillId="37" borderId="28" xfId="0" applyNumberFormat="1" applyFont="1" applyFill="1" applyBorder="1" applyAlignment="1" applyProtection="1">
      <alignment horizontal="right"/>
      <protection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80" fillId="36" borderId="10" xfId="0" applyNumberFormat="1" applyFont="1" applyFill="1" applyBorder="1" applyAlignment="1" applyProtection="1">
      <alignment/>
      <protection locked="0"/>
    </xf>
    <xf numFmtId="2" fontId="80" fillId="36" borderId="13" xfId="0" applyNumberFormat="1" applyFont="1" applyFill="1" applyBorder="1" applyAlignment="1" applyProtection="1">
      <alignment/>
      <protection locked="0"/>
    </xf>
    <xf numFmtId="2" fontId="80" fillId="36" borderId="15" xfId="0" applyNumberFormat="1" applyFont="1" applyFill="1" applyBorder="1" applyAlignment="1" applyProtection="1">
      <alignment/>
      <protection locked="0"/>
    </xf>
    <xf numFmtId="184" fontId="80" fillId="36" borderId="10" xfId="0" applyNumberFormat="1" applyFont="1" applyFill="1" applyBorder="1" applyAlignment="1" applyProtection="1">
      <alignment/>
      <protection locked="0"/>
    </xf>
    <xf numFmtId="184" fontId="80" fillId="36" borderId="13" xfId="0" applyNumberFormat="1" applyFont="1" applyFill="1" applyBorder="1" applyAlignment="1" applyProtection="1">
      <alignment/>
      <protection locked="0"/>
    </xf>
    <xf numFmtId="184" fontId="80" fillId="36" borderId="15" xfId="0" applyNumberFormat="1" applyFont="1" applyFill="1" applyBorder="1" applyAlignment="1" applyProtection="1">
      <alignment/>
      <protection locked="0"/>
    </xf>
    <xf numFmtId="2" fontId="77" fillId="36" borderId="10" xfId="0" applyNumberFormat="1" applyFont="1" applyFill="1" applyBorder="1" applyAlignment="1" applyProtection="1">
      <alignment/>
      <protection/>
    </xf>
    <xf numFmtId="2" fontId="77" fillId="36" borderId="15" xfId="0" applyNumberFormat="1" applyFont="1" applyFill="1" applyBorder="1" applyAlignment="1" applyProtection="1">
      <alignment/>
      <protection/>
    </xf>
    <xf numFmtId="2" fontId="77" fillId="36" borderId="13" xfId="0" applyNumberFormat="1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6" xfId="0" applyFont="1" applyFill="1" applyBorder="1" applyAlignment="1" applyProtection="1">
      <alignment horizontal="center"/>
      <protection/>
    </xf>
    <xf numFmtId="0" fontId="1" fillId="36" borderId="67" xfId="0" applyFont="1" applyFill="1" applyBorder="1" applyAlignment="1" applyProtection="1">
      <alignment horizontal="center"/>
      <protection/>
    </xf>
    <xf numFmtId="0" fontId="1" fillId="33" borderId="68" xfId="0" applyFont="1" applyFill="1" applyBorder="1" applyAlignment="1" applyProtection="1">
      <alignment horizontal="center"/>
      <protection/>
    </xf>
    <xf numFmtId="2" fontId="78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0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2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2" fillId="33" borderId="53" xfId="0" applyFont="1" applyFill="1" applyBorder="1" applyAlignment="1" applyProtection="1">
      <alignment horizontal="left" indent="1"/>
      <protection/>
    </xf>
    <xf numFmtId="2" fontId="77" fillId="36" borderId="10" xfId="0" applyNumberFormat="1" applyFont="1" applyFill="1" applyBorder="1" applyAlignment="1" applyProtection="1">
      <alignment horizontal="right"/>
      <protection/>
    </xf>
    <xf numFmtId="2" fontId="77" fillId="36" borderId="15" xfId="0" applyNumberFormat="1" applyFont="1" applyFill="1" applyBorder="1" applyAlignment="1" applyProtection="1">
      <alignment horizontal="right"/>
      <protection/>
    </xf>
    <xf numFmtId="0" fontId="1" fillId="33" borderId="65" xfId="0" applyFont="1" applyFill="1" applyBorder="1" applyAlignment="1" applyProtection="1">
      <alignment horizontal="left" indent="1"/>
      <protection/>
    </xf>
    <xf numFmtId="0" fontId="1" fillId="33" borderId="75" xfId="0" applyFont="1" applyFill="1" applyBorder="1" applyAlignment="1" applyProtection="1">
      <alignment horizontal="left" indent="1"/>
      <protection/>
    </xf>
    <xf numFmtId="0" fontId="1" fillId="33" borderId="65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30" fillId="44" borderId="76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71" xfId="0" applyFont="1" applyFill="1" applyBorder="1" applyAlignment="1">
      <alignment horizontal="center" vertical="center" textRotation="90" wrapText="1"/>
    </xf>
    <xf numFmtId="0" fontId="31" fillId="44" borderId="79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65" xfId="0" applyFont="1" applyFill="1" applyBorder="1" applyAlignment="1">
      <alignment horizontal="center" vertical="center" textRotation="90" wrapText="1"/>
    </xf>
    <xf numFmtId="0" fontId="31" fillId="44" borderId="75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1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3" xfId="0" applyFont="1" applyFill="1" applyBorder="1" applyAlignment="1">
      <alignment horizontal="center" vertical="center" textRotation="90" wrapText="1"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84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5" fillId="45" borderId="77" xfId="0" applyFont="1" applyFill="1" applyBorder="1" applyAlignment="1">
      <alignment horizontal="center" vertical="center" textRotation="90" wrapText="1"/>
    </xf>
    <xf numFmtId="0" fontId="25" fillId="45" borderId="85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28" fillId="40" borderId="65" xfId="0" applyFont="1" applyFill="1" applyBorder="1" applyAlignment="1">
      <alignment horizontal="center" vertical="center" wrapText="1"/>
    </xf>
    <xf numFmtId="0" fontId="28" fillId="40" borderId="86" xfId="0" applyFont="1" applyFill="1" applyBorder="1" applyAlignment="1">
      <alignment horizontal="center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7" xfId="0" applyFont="1" applyFill="1" applyBorder="1" applyAlignment="1">
      <alignment horizontal="center" vertical="center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8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60233048"/>
        <c:axId val="5226521"/>
      </c:scatterChart>
      <c:valAx>
        <c:axId val="6023304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21"/>
        <c:crosses val="autoZero"/>
        <c:crossBetween val="midCat"/>
        <c:dispUnits/>
        <c:majorUnit val="10"/>
        <c:minorUnit val="10"/>
      </c:valAx>
      <c:valAx>
        <c:axId val="52265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33048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075"/>
          <c:w val="0.973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47038690"/>
        <c:axId val="20695027"/>
      </c:scatterChart>
      <c:valAx>
        <c:axId val="47038690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 val="autoZero"/>
        <c:crossBetween val="midCat"/>
        <c:dispUnits/>
      </c:valAx>
      <c:valAx>
        <c:axId val="20695027"/>
        <c:scaling>
          <c:orientation val="minMax"/>
          <c:max val="31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3869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97.19103605394524</c:v>
                </c:pt>
                <c:pt idx="4">
                  <c:v>90.6201682475372</c:v>
                </c:pt>
                <c:pt idx="5">
                  <c:v>78.95959156111753</c:v>
                </c:pt>
                <c:pt idx="6">
                  <c:v>71.83273695702935</c:v>
                </c:pt>
                <c:pt idx="7">
                  <c:v>63.250913497037054</c:v>
                </c:pt>
                <c:pt idx="8">
                  <c:v>58.8096455189736</c:v>
                </c:pt>
                <c:pt idx="9">
                  <c:v>56.99464207955471</c:v>
                </c:pt>
                <c:pt idx="10">
                  <c:v>54.78741866878712</c:v>
                </c:pt>
                <c:pt idx="11">
                  <c:v>51.65628530137514</c:v>
                </c:pt>
                <c:pt idx="12">
                  <c:v>48.10358646194236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52037516"/>
        <c:axId val="65684461"/>
      </c:scatterChart>
      <c:valAx>
        <c:axId val="5203751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 val="autoZero"/>
        <c:crossBetween val="midCat"/>
        <c:dispUnits/>
        <c:majorUnit val="10"/>
        <c:minorUnit val="10"/>
      </c:valAx>
      <c:valAx>
        <c:axId val="656844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375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22.5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2.726813065707823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54289238"/>
        <c:axId val="18841095"/>
      </c:scatterChart>
      <c:valAx>
        <c:axId val="5428923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 val="autoZero"/>
        <c:crossBetween val="midCat"/>
        <c:dispUnits/>
        <c:majorUnit val="10"/>
      </c:valAx>
      <c:valAx>
        <c:axId val="1884109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26.8</c:v>
                </c:pt>
                <c:pt idx="1">
                  <c:v>26.8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29.7</c:v>
                </c:pt>
                <c:pt idx="1">
                  <c:v>22.5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26.8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16</c:v>
                </c:pt>
                <c:pt idx="1">
                  <c:v>47</c:v>
                </c:pt>
                <c:pt idx="2">
                  <c:v>27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28.23397075365581</c:v>
                </c:pt>
                <c:pt idx="1">
                  <c:v>24.82223658694244</c:v>
                </c:pt>
                <c:pt idx="2">
                  <c:v>26.603884638022386</c:v>
                </c:pt>
                <c:pt idx="3">
                  <c:v>29.45902517407606</c:v>
                </c:pt>
              </c:numCache>
            </c:numRef>
          </c:yVal>
          <c:smooth val="0"/>
        </c:ser>
        <c:axId val="35352128"/>
        <c:axId val="49733697"/>
      </c:scatterChart>
      <c:valAx>
        <c:axId val="35352128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 val="autoZero"/>
        <c:crossBetween val="midCat"/>
        <c:dispUnits/>
      </c:valAx>
      <c:valAx>
        <c:axId val="49733697"/>
        <c:scaling>
          <c:orientation val="minMax"/>
          <c:max val="30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0.88425</cdr:y>
    </cdr:from>
    <cdr:to>
      <cdr:x>0.95225</cdr:x>
      <cdr:y>0.942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2286000"/>
          <a:ext cx="407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9</xdr:row>
      <xdr:rowOff>19050</xdr:rowOff>
    </xdr:from>
    <xdr:to>
      <xdr:col>10</xdr:col>
      <xdr:colOff>666750</xdr:colOff>
      <xdr:row>25</xdr:row>
      <xdr:rowOff>0</xdr:rowOff>
    </xdr:to>
    <xdr:graphicFrame>
      <xdr:nvGraphicFramePr>
        <xdr:cNvPr id="7" name="Chart 18"/>
        <xdr:cNvGraphicFramePr/>
      </xdr:nvGraphicFramePr>
      <xdr:xfrm>
        <a:off x="3143250" y="126682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221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224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1.8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2.1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21">
      <selection activeCell="D40" sqref="D40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C3-M1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222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625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4305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3794.14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510.8600000000001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3169.14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16.119830616507954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2276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1651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6.33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1665.4099999999999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4.430360112225105E-05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-14.409999999999854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0.0021932812561333845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1524.4699999999998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1.0691006980788764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48.10358646194235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-0.8728043609933286</v>
      </c>
      <c r="G22" s="37"/>
      <c r="H22" s="118" t="s">
        <v>44</v>
      </c>
      <c r="I22" s="119"/>
      <c r="J22" s="102">
        <f>IF(OR($F$6=0,C27=0),"-",IF(J19^2/(J18*J20)&lt;99,J19^2/(J18*J20),"&gt; 99"))</f>
        <v>0.10156194579922181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0</v>
      </c>
      <c r="E29" s="104"/>
      <c r="F29" s="101">
        <f t="shared" si="0"/>
        <v>0</v>
      </c>
      <c r="G29" s="36"/>
      <c r="H29" s="36">
        <f t="shared" si="1"/>
        <v>0</v>
      </c>
      <c r="I29" s="101">
        <f>IF($F$6=0,"-",SUM($H$27:H29))</f>
        <v>0</v>
      </c>
      <c r="J29" s="33">
        <f t="shared" si="5"/>
        <v>100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89.02</v>
      </c>
      <c r="E30" s="104"/>
      <c r="F30" s="101">
        <f t="shared" si="0"/>
        <v>89.02</v>
      </c>
      <c r="G30" s="36"/>
      <c r="H30" s="36">
        <f t="shared" si="1"/>
        <v>2.808963946054766</v>
      </c>
      <c r="I30" s="101">
        <f>IF($F$6=0,"-",SUM($H$27:H30))</f>
        <v>2.808963946054766</v>
      </c>
      <c r="J30" s="33">
        <f t="shared" si="5"/>
        <v>97.19103605394524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208.24</v>
      </c>
      <c r="E31" s="104"/>
      <c r="F31" s="101">
        <f t="shared" si="0"/>
        <v>208.24</v>
      </c>
      <c r="G31" s="36"/>
      <c r="H31" s="36">
        <f t="shared" si="1"/>
        <v>6.570867806408048</v>
      </c>
      <c r="I31" s="101">
        <f>IF($F$6=0,"-",SUM($H$27:H31))</f>
        <v>9.379831752462813</v>
      </c>
      <c r="J31" s="33">
        <f t="shared" si="5"/>
        <v>90.6201682475372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383.95</v>
      </c>
      <c r="E32" s="104"/>
      <c r="F32" s="101">
        <f t="shared" si="0"/>
        <v>369.54000000000013</v>
      </c>
      <c r="G32" s="36"/>
      <c r="H32" s="36">
        <f t="shared" si="1"/>
        <v>11.660576686419665</v>
      </c>
      <c r="I32" s="101">
        <f>IF($F$6=0,"-",SUM($H$27:H32))</f>
        <v>21.04040843888248</v>
      </c>
      <c r="J32" s="33">
        <f t="shared" si="5"/>
        <v>78.95959156111753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225.86</v>
      </c>
      <c r="E33" s="104"/>
      <c r="F33" s="101">
        <f t="shared" si="0"/>
        <v>225.86</v>
      </c>
      <c r="G33" s="36"/>
      <c r="H33" s="36">
        <f t="shared" si="1"/>
        <v>7.126854604088176</v>
      </c>
      <c r="I33" s="101">
        <f>IF($F$6=0,"-",SUM($H$27:H33))</f>
        <v>28.167263042970657</v>
      </c>
      <c r="J33" s="33">
        <f t="shared" si="5"/>
        <v>71.83273695702935</v>
      </c>
      <c r="K33" s="42"/>
      <c r="L33" s="126">
        <f t="shared" si="2"/>
        <v>0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271.97</v>
      </c>
      <c r="E34" s="104"/>
      <c r="F34" s="101">
        <f t="shared" si="0"/>
        <v>271.97</v>
      </c>
      <c r="G34" s="36"/>
      <c r="H34" s="36">
        <f t="shared" si="1"/>
        <v>8.581823459992302</v>
      </c>
      <c r="I34" s="101">
        <f>IF($F$6=0,"-",SUM($H$27:H34))</f>
        <v>36.74908650296296</v>
      </c>
      <c r="J34" s="33">
        <f t="shared" si="5"/>
        <v>63.250913497037054</v>
      </c>
      <c r="K34" s="42"/>
      <c r="L34" s="126">
        <f t="shared" si="2"/>
        <v>1.0691006980788764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140.75</v>
      </c>
      <c r="E35" s="104"/>
      <c r="F35" s="101">
        <f t="shared" si="0"/>
        <v>140.75</v>
      </c>
      <c r="G35" s="36"/>
      <c r="H35" s="36">
        <f t="shared" si="1"/>
        <v>4.44126797806345</v>
      </c>
      <c r="I35" s="101">
        <f>IF($F$6=0,"-",SUM($H$27:H35))</f>
        <v>41.19035448102641</v>
      </c>
      <c r="J35" s="33">
        <f t="shared" si="5"/>
        <v>58.8096455189736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57.52</v>
      </c>
      <c r="E36" s="104"/>
      <c r="F36" s="101">
        <f t="shared" si="0"/>
        <v>57.52</v>
      </c>
      <c r="G36" s="36"/>
      <c r="H36" s="36">
        <f t="shared" si="1"/>
        <v>1.815003439418896</v>
      </c>
      <c r="I36" s="101">
        <f>IF($F$6=0,"-",SUM($H$27:H36))</f>
        <v>43.005357920445306</v>
      </c>
      <c r="J36" s="33">
        <f t="shared" si="5"/>
        <v>56.99464207955471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69.95</v>
      </c>
      <c r="E37" s="104"/>
      <c r="F37" s="101">
        <f t="shared" si="0"/>
        <v>69.95</v>
      </c>
      <c r="G37" s="36"/>
      <c r="H37" s="36">
        <f t="shared" si="1"/>
        <v>2.20722341076759</v>
      </c>
      <c r="I37" s="101">
        <f>IF($F$6=0,"-",SUM($H$27:H37))</f>
        <v>45.212581331212895</v>
      </c>
      <c r="J37" s="33">
        <f t="shared" si="5"/>
        <v>54.78741866878712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99.23</v>
      </c>
      <c r="E38" s="104"/>
      <c r="F38" s="101">
        <f t="shared" si="0"/>
        <v>99.23</v>
      </c>
      <c r="G38" s="36"/>
      <c r="H38" s="36">
        <f t="shared" si="1"/>
        <v>3.1311333674119792</v>
      </c>
      <c r="I38" s="101">
        <f>IF($F$6=0,"-",SUM($H$27:H38))</f>
        <v>48.34371469862487</v>
      </c>
      <c r="J38" s="33">
        <f t="shared" si="5"/>
        <v>51.65628530137514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112.59</v>
      </c>
      <c r="E39" s="104"/>
      <c r="F39" s="101">
        <f t="shared" si="0"/>
        <v>112.59</v>
      </c>
      <c r="G39" s="36"/>
      <c r="H39" s="36">
        <f t="shared" si="1"/>
        <v>3.55269883943278</v>
      </c>
      <c r="I39" s="101">
        <f>IF($F$6=0,"-",SUM($H$27:H39))</f>
        <v>51.89641353805765</v>
      </c>
      <c r="J39" s="33">
        <f t="shared" si="5"/>
        <v>48.10358646194236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0.0021932812561333845</v>
      </c>
      <c r="N39" s="131">
        <f>IF(AND(J39&gt;=10,J40&lt;=10),10^(LOG10(C38)-(J38-10)*(LOG10(C38)-LOG10(C39))/(J38-J39)),0)</f>
        <v>4.430360112225105E-05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6.33</v>
      </c>
      <c r="E40" s="38"/>
      <c r="F40" s="106">
        <f>IF($F$6=0,"-",F20)</f>
        <v>1524.4699999999998</v>
      </c>
      <c r="G40" s="58"/>
      <c r="H40" s="36">
        <f t="shared" si="1"/>
        <v>48.10358646194235</v>
      </c>
      <c r="I40" s="101">
        <f>IF($F$6=0,"-",SUM($H$27:H40))</f>
        <v>100</v>
      </c>
      <c r="J40" s="33">
        <f t="shared" si="5"/>
        <v>1.4210854715202004E-14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1665.4099999999999</v>
      </c>
      <c r="E41" s="108"/>
      <c r="F41" s="109">
        <f>IF($F$6=0,"-",SUM(F27:F40))</f>
        <v>3169.14</v>
      </c>
      <c r="G41" s="107"/>
      <c r="H41" s="23">
        <f>IF($F$6=0,"-",SUM(H27:H40))</f>
        <v>100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100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97.19103605394524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90.6201682475372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78.95959156111753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71.83273695702935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63.250913497037054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58.8096455189736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56.99464207955471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54.78741866878712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51.65628530137514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48.10358646194236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39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7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8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7" ht="13.5" thickBot="1">
      <c r="A5" s="72" t="s">
        <v>128</v>
      </c>
      <c r="B5" s="50"/>
      <c r="C5" s="49"/>
      <c r="D5" s="340"/>
      <c r="E5" s="336">
        <v>1</v>
      </c>
      <c r="F5" s="336">
        <v>2</v>
      </c>
      <c r="G5" s="336">
        <v>3</v>
      </c>
    </row>
    <row r="6" ht="13.5" thickBot="1"/>
    <row r="7" spans="1:6" ht="13.5" thickBot="1">
      <c r="A7" s="72" t="s">
        <v>20</v>
      </c>
      <c r="B7" s="50"/>
      <c r="C7" s="49"/>
      <c r="D7" s="350"/>
      <c r="E7" s="335"/>
      <c r="F7" s="335"/>
    </row>
    <row r="8" spans="1:6" ht="12.75">
      <c r="A8" s="347">
        <v>1</v>
      </c>
      <c r="B8" s="459" t="s">
        <v>21</v>
      </c>
      <c r="C8" s="458"/>
      <c r="D8" s="348"/>
      <c r="E8" s="349">
        <v>236</v>
      </c>
      <c r="F8" s="349">
        <v>315</v>
      </c>
    </row>
    <row r="9" spans="1:6" ht="12.75">
      <c r="A9" s="341">
        <v>2</v>
      </c>
      <c r="B9" s="460" t="s">
        <v>22</v>
      </c>
      <c r="C9" s="445"/>
      <c r="D9" s="342" t="s">
        <v>23</v>
      </c>
      <c r="E9" s="200">
        <v>184.44</v>
      </c>
      <c r="F9" s="200">
        <v>173.38</v>
      </c>
    </row>
    <row r="10" spans="1:6" ht="12.75">
      <c r="A10" s="341">
        <v>3</v>
      </c>
      <c r="B10" s="460" t="s">
        <v>24</v>
      </c>
      <c r="C10" s="445"/>
      <c r="D10" s="342" t="s">
        <v>23</v>
      </c>
      <c r="E10" s="200">
        <v>577.81</v>
      </c>
      <c r="F10" s="200">
        <v>531.04</v>
      </c>
    </row>
    <row r="11" spans="1:6" ht="12.75">
      <c r="A11" s="341">
        <v>4</v>
      </c>
      <c r="B11" s="443" t="s">
        <v>25</v>
      </c>
      <c r="C11" s="444"/>
      <c r="D11" s="342" t="s">
        <v>23</v>
      </c>
      <c r="E11" s="200">
        <v>523.81</v>
      </c>
      <c r="F11" s="200">
        <v>480.83</v>
      </c>
    </row>
    <row r="12" spans="1:6" ht="12.75">
      <c r="A12" s="341">
        <v>5</v>
      </c>
      <c r="B12" s="460" t="s">
        <v>26</v>
      </c>
      <c r="C12" s="445"/>
      <c r="D12" s="342" t="s">
        <v>23</v>
      </c>
      <c r="E12" s="354">
        <f>IF(E8=0,"-",E10-E11)</f>
        <v>54</v>
      </c>
      <c r="F12" s="354">
        <f>IF(F8=0,"-",F10-F11)</f>
        <v>50.20999999999998</v>
      </c>
    </row>
    <row r="13" spans="1:6" ht="12.75">
      <c r="A13" s="341">
        <v>6</v>
      </c>
      <c r="B13" s="460" t="s">
        <v>27</v>
      </c>
      <c r="C13" s="445"/>
      <c r="D13" s="342" t="s">
        <v>23</v>
      </c>
      <c r="E13" s="354">
        <f>IF(E8=0,"-",E11-E9)</f>
        <v>339.36999999999995</v>
      </c>
      <c r="F13" s="354">
        <f>IF(F8=0,"-",F11-F9)</f>
        <v>307.45</v>
      </c>
    </row>
    <row r="14" spans="1:6" ht="13.5" thickBot="1">
      <c r="A14" s="343">
        <v>7</v>
      </c>
      <c r="B14" s="454" t="s">
        <v>28</v>
      </c>
      <c r="C14" s="449"/>
      <c r="D14" s="344" t="s">
        <v>29</v>
      </c>
      <c r="E14" s="355">
        <f>IF(E8=0,"-",100*E12/E13)</f>
        <v>15.911836638477181</v>
      </c>
      <c r="F14" s="355">
        <f>IF(F8=0,"-",100*F12/F13)</f>
        <v>16.331110749715396</v>
      </c>
    </row>
    <row r="15" spans="1:6" ht="13.5" thickBot="1">
      <c r="A15" s="345">
        <v>8</v>
      </c>
      <c r="B15" s="450" t="s">
        <v>129</v>
      </c>
      <c r="C15" s="451"/>
      <c r="D15" s="346" t="s">
        <v>29</v>
      </c>
      <c r="E15" s="455">
        <f>+SUM(E14:F14)/2</f>
        <v>16.121473694096288</v>
      </c>
      <c r="F15" s="456"/>
    </row>
    <row r="16" ht="13.5" thickBot="1"/>
    <row r="17" spans="1:7" ht="13.5" thickBot="1">
      <c r="A17" s="72" t="s">
        <v>130</v>
      </c>
      <c r="B17" s="50"/>
      <c r="C17" s="49"/>
      <c r="D17" s="340"/>
      <c r="E17" s="427"/>
      <c r="F17" s="427"/>
      <c r="G17" s="427"/>
    </row>
    <row r="18" spans="1:7" ht="13.5" thickBot="1">
      <c r="A18" s="347">
        <v>1</v>
      </c>
      <c r="B18" s="457" t="s">
        <v>132</v>
      </c>
      <c r="C18" s="458"/>
      <c r="D18" s="426" t="s">
        <v>109</v>
      </c>
      <c r="E18" s="429"/>
      <c r="F18" s="430"/>
      <c r="G18" s="431">
        <v>0.87</v>
      </c>
    </row>
    <row r="19" spans="1:7" ht="13.5" thickBot="1">
      <c r="A19" s="347">
        <v>2</v>
      </c>
      <c r="B19" s="457" t="s">
        <v>133</v>
      </c>
      <c r="C19" s="458"/>
      <c r="D19" s="426"/>
      <c r="E19" s="432"/>
      <c r="F19" s="433"/>
      <c r="G19" s="434">
        <v>1.0015337</v>
      </c>
    </row>
    <row r="20" spans="1:7" ht="12.75">
      <c r="A20" s="347">
        <v>3</v>
      </c>
      <c r="B20" s="457" t="s">
        <v>134</v>
      </c>
      <c r="C20" s="458"/>
      <c r="D20" s="351" t="s">
        <v>23</v>
      </c>
      <c r="E20" s="428">
        <v>1171.52</v>
      </c>
      <c r="F20" s="428">
        <v>1541.09</v>
      </c>
      <c r="G20" s="428">
        <v>620.42</v>
      </c>
    </row>
    <row r="21" spans="1:7" ht="12.75">
      <c r="A21" s="347">
        <v>4</v>
      </c>
      <c r="B21" s="443" t="s">
        <v>135</v>
      </c>
      <c r="C21" s="445"/>
      <c r="D21" s="351" t="s">
        <v>23</v>
      </c>
      <c r="E21" s="200">
        <v>1223.51</v>
      </c>
      <c r="F21" s="200">
        <v>1598.44</v>
      </c>
      <c r="G21" s="200">
        <v>648.01</v>
      </c>
    </row>
    <row r="22" spans="1:7" ht="12.75">
      <c r="A22" s="347">
        <v>5</v>
      </c>
      <c r="B22" s="443" t="s">
        <v>137</v>
      </c>
      <c r="C22" s="445"/>
      <c r="D22" s="351" t="s">
        <v>92</v>
      </c>
      <c r="E22" s="200">
        <v>609</v>
      </c>
      <c r="F22" s="200">
        <v>775</v>
      </c>
      <c r="G22" s="200">
        <v>335</v>
      </c>
    </row>
    <row r="23" spans="1:7" ht="12.75">
      <c r="A23" s="347">
        <v>6</v>
      </c>
      <c r="B23" s="443" t="s">
        <v>136</v>
      </c>
      <c r="C23" s="444"/>
      <c r="D23" s="351" t="s">
        <v>23</v>
      </c>
      <c r="E23" s="353">
        <f>+IF($E$20=0,"-",E21-E20)</f>
        <v>51.99000000000001</v>
      </c>
      <c r="F23" s="353">
        <f>+IF($E$20=0,"-",F21-F20)</f>
        <v>57.350000000000136</v>
      </c>
      <c r="G23" s="353">
        <f>+IF($E$20=0,"-",G21-G20)</f>
        <v>27.590000000000032</v>
      </c>
    </row>
    <row r="24" spans="1:7" ht="12.75">
      <c r="A24" s="347">
        <v>7</v>
      </c>
      <c r="B24" s="443" t="s">
        <v>138</v>
      </c>
      <c r="C24" s="445"/>
      <c r="D24" s="351" t="s">
        <v>92</v>
      </c>
      <c r="E24" s="353">
        <f>+IF($E$20=0,"-",E22-$G$19)</f>
        <v>607.9984663</v>
      </c>
      <c r="F24" s="353">
        <f>+IF($E$20=0,"-",F22-$G$19)</f>
        <v>773.9984663</v>
      </c>
      <c r="G24" s="353">
        <f>+IF($E$20=0,"-",G22-$G$19)</f>
        <v>333.9984663</v>
      </c>
    </row>
    <row r="25" spans="1:7" ht="12.75">
      <c r="A25" s="347">
        <v>8</v>
      </c>
      <c r="B25" s="443" t="s">
        <v>139</v>
      </c>
      <c r="C25" s="445"/>
      <c r="D25" s="351" t="s">
        <v>92</v>
      </c>
      <c r="E25" s="353">
        <f>+IF($E$20=0,"-",E23/$G$18)</f>
        <v>59.75862068965518</v>
      </c>
      <c r="F25" s="353">
        <f>+IF($E$20=0,"-",F23/$G$18)</f>
        <v>65.91954022988521</v>
      </c>
      <c r="G25" s="353">
        <f>+IF($E$20=0,"-",G23/$G$18)</f>
        <v>31.712643678160955</v>
      </c>
    </row>
    <row r="26" spans="1:7" ht="12.75">
      <c r="A26" s="343">
        <v>9</v>
      </c>
      <c r="B26" s="448" t="s">
        <v>140</v>
      </c>
      <c r="C26" s="449"/>
      <c r="D26" s="352" t="s">
        <v>92</v>
      </c>
      <c r="E26" s="353">
        <f>+IF($E$20=0,"-",E24-E23)</f>
        <v>556.0084663</v>
      </c>
      <c r="F26" s="353">
        <f>+IF($E$20=0,"-",F24-F23)</f>
        <v>716.6484662999999</v>
      </c>
      <c r="G26" s="353">
        <f>+IF($E$20=0,"-",G24-G23)</f>
        <v>306.4084663</v>
      </c>
    </row>
    <row r="27" spans="1:7" ht="13.5" thickBot="1">
      <c r="A27" s="343">
        <v>10</v>
      </c>
      <c r="B27" s="454" t="s">
        <v>141</v>
      </c>
      <c r="C27" s="449"/>
      <c r="D27" s="352" t="s">
        <v>109</v>
      </c>
      <c r="E27" s="356">
        <f>+IF($E$20=0,"-",E20/E26)</f>
        <v>2.1070182758114595</v>
      </c>
      <c r="F27" s="356">
        <f>+IF($E$20=0,"-",F20/F26)</f>
        <v>2.1504127511170537</v>
      </c>
      <c r="G27" s="356">
        <f>+IF($E$20=0,"-",G20/G26)</f>
        <v>2.024813503007309</v>
      </c>
    </row>
    <row r="28" spans="1:7" ht="13.5" thickBot="1">
      <c r="A28" s="345">
        <v>11</v>
      </c>
      <c r="B28" s="450" t="s">
        <v>142</v>
      </c>
      <c r="C28" s="451"/>
      <c r="D28" s="346" t="s">
        <v>109</v>
      </c>
      <c r="E28" s="435"/>
      <c r="F28" s="437"/>
      <c r="G28" s="436">
        <f>+AVERAGE(E27:G27)</f>
        <v>2.0940815099786074</v>
      </c>
    </row>
    <row r="29" ht="13.5" thickBot="1"/>
    <row r="30" spans="1:5" ht="13.5" thickBot="1">
      <c r="A30" s="72" t="s">
        <v>131</v>
      </c>
      <c r="B30" s="50"/>
      <c r="C30" s="49"/>
      <c r="D30" s="340"/>
      <c r="E30" s="335"/>
    </row>
    <row r="31" spans="1:5" ht="12.75">
      <c r="A31" s="438">
        <v>1</v>
      </c>
      <c r="B31" s="452" t="s">
        <v>143</v>
      </c>
      <c r="C31" s="453"/>
      <c r="D31" s="439"/>
      <c r="E31" s="202">
        <v>2</v>
      </c>
    </row>
    <row r="32" spans="1:5" ht="12.75">
      <c r="A32" s="341">
        <v>2</v>
      </c>
      <c r="B32" s="443" t="s">
        <v>144</v>
      </c>
      <c r="C32" s="445"/>
      <c r="D32" s="342" t="s">
        <v>23</v>
      </c>
      <c r="E32" s="200">
        <v>344.67</v>
      </c>
    </row>
    <row r="33" spans="1:5" ht="12.75">
      <c r="A33" s="341">
        <v>3</v>
      </c>
      <c r="B33" s="443" t="s">
        <v>145</v>
      </c>
      <c r="C33" s="445"/>
      <c r="D33" s="342" t="s">
        <v>23</v>
      </c>
      <c r="E33" s="200">
        <v>386.13</v>
      </c>
    </row>
    <row r="34" spans="1:5" ht="12.75">
      <c r="A34" s="341">
        <v>4</v>
      </c>
      <c r="B34" s="443" t="s">
        <v>75</v>
      </c>
      <c r="C34" s="444"/>
      <c r="D34" s="342"/>
      <c r="E34" s="198">
        <v>18</v>
      </c>
    </row>
    <row r="35" spans="1:5" ht="12.75">
      <c r="A35" s="341">
        <v>5</v>
      </c>
      <c r="B35" s="443" t="s">
        <v>22</v>
      </c>
      <c r="C35" s="445"/>
      <c r="D35" s="342" t="s">
        <v>23</v>
      </c>
      <c r="E35" s="200">
        <v>172.76</v>
      </c>
    </row>
    <row r="36" spans="1:5" ht="12.75">
      <c r="A36" s="341">
        <v>6</v>
      </c>
      <c r="B36" s="443" t="s">
        <v>25</v>
      </c>
      <c r="C36" s="445"/>
      <c r="D36" s="342" t="s">
        <v>23</v>
      </c>
      <c r="E36" s="200">
        <v>239.51</v>
      </c>
    </row>
    <row r="37" spans="1:5" ht="12.75">
      <c r="A37" s="343">
        <v>7</v>
      </c>
      <c r="B37" s="443" t="s">
        <v>146</v>
      </c>
      <c r="C37" s="445"/>
      <c r="D37" s="342" t="s">
        <v>23</v>
      </c>
      <c r="E37" s="357">
        <f>+E36-E35</f>
        <v>66.75</v>
      </c>
    </row>
    <row r="38" spans="1:5" ht="13.5" thickBot="1">
      <c r="A38" s="440">
        <v>8</v>
      </c>
      <c r="B38" s="446" t="s">
        <v>147</v>
      </c>
      <c r="C38" s="447"/>
      <c r="D38" s="441"/>
      <c r="E38" s="102">
        <f>+E37/(E32-E33+E37)</f>
        <v>2.6393831553973883</v>
      </c>
    </row>
  </sheetData>
  <sheetProtection/>
  <mergeCells count="28">
    <mergeCell ref="B19:C19"/>
    <mergeCell ref="B14:C14"/>
    <mergeCell ref="B8:C8"/>
    <mergeCell ref="B9:C9"/>
    <mergeCell ref="B10:C10"/>
    <mergeCell ref="B11:C11"/>
    <mergeCell ref="B12:C12"/>
    <mergeCell ref="B13:C13"/>
    <mergeCell ref="B37:C37"/>
    <mergeCell ref="B32:C32"/>
    <mergeCell ref="B33:C33"/>
    <mergeCell ref="B15:C15"/>
    <mergeCell ref="E15:F15"/>
    <mergeCell ref="B20:C20"/>
    <mergeCell ref="B21:C21"/>
    <mergeCell ref="B22:C22"/>
    <mergeCell ref="B23:C23"/>
    <mergeCell ref="B18:C18"/>
    <mergeCell ref="B34:C34"/>
    <mergeCell ref="B35:C35"/>
    <mergeCell ref="B36:C36"/>
    <mergeCell ref="B38:C38"/>
    <mergeCell ref="B24:C24"/>
    <mergeCell ref="B25:C25"/>
    <mergeCell ref="B26:C26"/>
    <mergeCell ref="B28:C28"/>
    <mergeCell ref="B31:C31"/>
    <mergeCell ref="B27:C2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="115" zoomScaleNormal="115" zoomScalePageLayoutView="0" workbookViewId="0" topLeftCell="A25">
      <selection activeCell="D38" sqref="D38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C3-M1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2</v>
      </c>
      <c r="E8" s="195">
        <v>9</v>
      </c>
      <c r="F8" s="196">
        <v>12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16</v>
      </c>
      <c r="E9" s="198">
        <v>47</v>
      </c>
      <c r="F9" s="199">
        <v>27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20.52</v>
      </c>
      <c r="E10" s="200">
        <v>19.34</v>
      </c>
      <c r="F10" s="55">
        <v>20.74</v>
      </c>
      <c r="G10" s="200">
        <v>20.77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43.32</v>
      </c>
      <c r="E11" s="200">
        <v>38.65</v>
      </c>
      <c r="F11" s="55">
        <v>42.25</v>
      </c>
      <c r="G11" s="200">
        <v>44.94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38.3</v>
      </c>
      <c r="E12" s="200">
        <v>34.81</v>
      </c>
      <c r="F12" s="55">
        <v>37.73</v>
      </c>
      <c r="G12" s="200">
        <v>39.44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5.020000000000003</v>
      </c>
      <c r="E13" s="165">
        <f>+E11-E12</f>
        <v>3.8399999999999963</v>
      </c>
      <c r="F13" s="165">
        <f>+F11-F12</f>
        <v>4.520000000000003</v>
      </c>
      <c r="G13" s="101">
        <f>+G11-G12</f>
        <v>5.5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17.779999999999998</v>
      </c>
      <c r="E14" s="166">
        <f>+E12-E10</f>
        <v>15.470000000000002</v>
      </c>
      <c r="F14" s="166">
        <f>+F12-F10</f>
        <v>16.99</v>
      </c>
      <c r="G14" s="102">
        <f>+G12-G10</f>
        <v>18.669999999999998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28.23397075365581</v>
      </c>
      <c r="E15" s="57">
        <f>+(E13/E14)*100</f>
        <v>24.82223658694244</v>
      </c>
      <c r="F15" s="57">
        <f>+(F13/F14)*100</f>
        <v>26.603884638022386</v>
      </c>
      <c r="G15" s="57">
        <f>+(G13/G14)*100</f>
        <v>29.45902517407606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26.8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2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3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4">
        <v>26.8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1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4">
        <v>29.7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22.5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7">
        <f>+L22</f>
        <v>26.8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8">
        <f>+L22</f>
        <v>26.8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16</v>
      </c>
      <c r="M35" s="283">
        <f>IF($G$16="NP",1,D15)</f>
        <v>28.23397075365581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3</v>
      </c>
      <c r="E36" s="202">
        <v>7</v>
      </c>
      <c r="F36" s="53">
        <v>32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47</v>
      </c>
      <c r="M36" s="285">
        <f>IF($G$16="NP",1,E15)</f>
        <v>24.82223658694244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19.27</v>
      </c>
      <c r="E37" s="200">
        <v>21.13</v>
      </c>
      <c r="F37" s="55">
        <v>20.02</v>
      </c>
      <c r="G37" s="200">
        <v>20.13</v>
      </c>
      <c r="I37" s="170">
        <v>16</v>
      </c>
      <c r="J37" s="171">
        <v>7</v>
      </c>
      <c r="L37" s="289">
        <f>IF(OR(F9=0,$G$16="NP"),1,F9)</f>
        <v>27</v>
      </c>
      <c r="M37" s="285">
        <f>IF($G$16="NP",1,F15)</f>
        <v>26.603884638022386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21.26</v>
      </c>
      <c r="E38" s="200">
        <v>22.82</v>
      </c>
      <c r="F38" s="55">
        <v>21.79</v>
      </c>
      <c r="G38" s="200">
        <v>22.13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29.45902517407606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20.93</v>
      </c>
      <c r="E39" s="200">
        <v>22.54</v>
      </c>
      <c r="F39" s="55">
        <v>21.5</v>
      </c>
      <c r="G39" s="200">
        <v>21.8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0.33000000000000185</v>
      </c>
      <c r="E40" s="56">
        <f>+E38-E39</f>
        <v>0.28000000000000114</v>
      </c>
      <c r="F40" s="56">
        <f>+F38-F39</f>
        <v>0.28999999999999915</v>
      </c>
      <c r="G40" s="56">
        <f>+G38-G39</f>
        <v>0.3299999999999983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1.6600000000000001</v>
      </c>
      <c r="E41" s="56">
        <f>+E39-E37</f>
        <v>1.4100000000000001</v>
      </c>
      <c r="F41" s="56">
        <f>+F39-F37</f>
        <v>1.4800000000000004</v>
      </c>
      <c r="G41" s="56">
        <f>+G39-G37</f>
        <v>1.6700000000000017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19.879518072289265</v>
      </c>
      <c r="E42" s="57">
        <f>+(E40/E41)*100</f>
        <v>19.858156028368875</v>
      </c>
      <c r="F42" s="57">
        <f>+(F40/F41)*100</f>
        <v>19.59459459459453</v>
      </c>
      <c r="G42" s="57">
        <f>+(G40/G41)*100</f>
        <v>19.760479041916046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19.773186934292177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22.5</v>
      </c>
      <c r="J47" s="177">
        <f>IF(OR(L25="NP",G43="NP"),"NP",L25-G43)</f>
        <v>2.726813065707823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3">
      <selection activeCell="L39" sqref="L39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3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3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3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3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4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5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3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3" t="str">
        <f>DATOS!C11</f>
        <v>C3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3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6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3">
        <f>DATOS!C13</f>
        <v>1.8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3">
        <f>DATOS!C14</f>
        <v>2.1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8">
        <f>GRANULOM!J27</f>
        <v>100</v>
      </c>
      <c r="F17" s="369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0">
        <f>GRANULOM!J28</f>
        <v>100</v>
      </c>
      <c r="F18" s="371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0">
        <f>GRANULOM!J29</f>
        <v>100</v>
      </c>
      <c r="F19" s="363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0">
        <f>GRANULOM!J30</f>
        <v>97.19103605394524</v>
      </c>
      <c r="F20" s="363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0">
        <f>GRANULOM!J31</f>
        <v>90.6201682475372</v>
      </c>
      <c r="F21" s="363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0">
        <f>GRANULOM!J32</f>
        <v>78.95959156111753</v>
      </c>
      <c r="F22" s="363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0">
        <f>GRANULOM!J33</f>
        <v>71.83273695702935</v>
      </c>
      <c r="F23" s="363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0">
        <f>GRANULOM!J34</f>
        <v>63.250913497037054</v>
      </c>
      <c r="F24" s="363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0">
        <f>GRANULOM!J35</f>
        <v>58.8096455189736</v>
      </c>
      <c r="F25" s="363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0">
        <f>GRANULOM!J36</f>
        <v>56.99464207955471</v>
      </c>
      <c r="F26" s="363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0">
        <f>GRANULOM!J37</f>
        <v>54.78741866878712</v>
      </c>
      <c r="F27" s="363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0">
        <f>GRANULOM!J38</f>
        <v>51.65628530137514</v>
      </c>
      <c r="F28" s="363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2">
        <f>GRANULOM!J39</f>
        <v>48.10358646194236</v>
      </c>
      <c r="F29" s="362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6">
        <f>GRANULOM!J18</f>
        <v>4.430360112225105E-05</v>
      </c>
      <c r="E30" s="248" t="s">
        <v>104</v>
      </c>
      <c r="F30" s="364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4">
        <f>GRANULOM!J19</f>
        <v>0.0021932812561333845</v>
      </c>
      <c r="E31" s="240" t="s">
        <v>106</v>
      </c>
      <c r="F31" s="365">
        <f>GRANULOM!J22</f>
        <v>0.10156194579922181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7">
        <f>GRANULOM!J20</f>
        <v>1.0691006980788764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223</v>
      </c>
      <c r="B34" s="259"/>
      <c r="C34" s="260"/>
      <c r="D34" s="261"/>
      <c r="E34" s="442">
        <f>+'W%, P.ESPEC, P.ESP.RELAT'!E38</f>
        <v>2.6393831553973883</v>
      </c>
      <c r="F34" s="359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8">
        <f>+'W%, P.ESPEC, P.ESP.RELAT'!G28</f>
        <v>2.0940815099786074</v>
      </c>
      <c r="F35" s="359"/>
      <c r="G35" s="235"/>
      <c r="H35" s="235"/>
      <c r="I35" s="235"/>
      <c r="J35" s="235"/>
      <c r="K35" s="235"/>
    </row>
    <row r="36" spans="1:11" ht="12.75" customHeight="1" thickBot="1">
      <c r="A36" s="258" t="s">
        <v>110</v>
      </c>
      <c r="B36" s="259"/>
      <c r="C36" s="260"/>
      <c r="D36" s="261" t="s">
        <v>29</v>
      </c>
      <c r="E36" s="360">
        <f>GRANULOM!F12</f>
        <v>16.119830616507954</v>
      </c>
      <c r="F36" s="359"/>
      <c r="G36" s="235"/>
      <c r="H36" s="235"/>
      <c r="I36" s="235"/>
      <c r="J36" s="235"/>
      <c r="K36" s="235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0">
        <f>LIMITES!G16</f>
        <v>26.8</v>
      </c>
      <c r="F37" s="359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1">
        <f>LIMITES!G43</f>
        <v>19.773186934292177</v>
      </c>
      <c r="F38" s="362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1">
        <f>+E37-E38</f>
        <v>7.026813065707824</v>
      </c>
      <c r="F39" s="363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199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ignoredErrors>
    <ignoredError sqref="E34:E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H7">
      <selection activeCell="L16" sqref="L16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79"/>
      <c r="B1" s="476" t="s">
        <v>148</v>
      </c>
      <c r="C1" s="476"/>
      <c r="D1" s="476"/>
      <c r="E1" s="476"/>
      <c r="F1" s="476"/>
      <c r="G1" s="476"/>
      <c r="H1" s="476"/>
      <c r="I1" s="379"/>
      <c r="J1" s="381"/>
    </row>
    <row r="2" spans="1:10" ht="12.75">
      <c r="A2" s="379"/>
      <c r="B2" s="380"/>
      <c r="C2" s="380"/>
      <c r="D2" s="380"/>
      <c r="E2" s="380"/>
      <c r="F2" s="380"/>
      <c r="G2" s="380"/>
      <c r="H2" s="380"/>
      <c r="I2" s="379"/>
      <c r="J2" s="381"/>
    </row>
    <row r="3" spans="1:12" ht="12.75">
      <c r="A3" s="379"/>
      <c r="B3" s="382" t="s">
        <v>149</v>
      </c>
      <c r="C3" s="383">
        <f>ROUND(RESUMEN!E29,2)</f>
        <v>48.1</v>
      </c>
      <c r="D3" s="382" t="s">
        <v>150</v>
      </c>
      <c r="E3" s="384" t="str">
        <f>+RESUMEN!F30</f>
        <v>&gt; 99</v>
      </c>
      <c r="F3" s="379"/>
      <c r="G3" s="379"/>
      <c r="H3" s="380"/>
      <c r="I3" s="379"/>
      <c r="J3" s="381"/>
      <c r="K3" s="385" t="s">
        <v>151</v>
      </c>
      <c r="L3" s="385">
        <f>+IF(N_10="NP",0,N_10)</f>
        <v>26.8</v>
      </c>
    </row>
    <row r="4" spans="1:12" ht="15.75">
      <c r="A4" s="379"/>
      <c r="B4" s="382" t="s">
        <v>152</v>
      </c>
      <c r="C4" s="383">
        <f>RESUMEN!E23</f>
        <v>71.83273695702935</v>
      </c>
      <c r="D4" s="382" t="s">
        <v>153</v>
      </c>
      <c r="E4" s="383">
        <f>+RESUMEN!F31</f>
        <v>0.10156194579922181</v>
      </c>
      <c r="F4" s="386" t="s">
        <v>154</v>
      </c>
      <c r="G4" s="387" t="str">
        <f>+Q9</f>
        <v>GC</v>
      </c>
      <c r="H4" s="388"/>
      <c r="I4" s="379"/>
      <c r="J4" s="381"/>
      <c r="K4" s="385" t="s">
        <v>155</v>
      </c>
      <c r="L4" s="385">
        <f>+IF(C6="NP",0,C6)</f>
        <v>7.03</v>
      </c>
    </row>
    <row r="5" spans="1:12" ht="12.75">
      <c r="A5" s="379"/>
      <c r="B5" s="382" t="s">
        <v>156</v>
      </c>
      <c r="C5" s="383">
        <f>IF(RESUMEN!E37="NP","NP",ROUND(RESUMEN!E37,2))</f>
        <v>26.8</v>
      </c>
      <c r="D5" s="380"/>
      <c r="E5" s="380"/>
      <c r="F5" s="382"/>
      <c r="G5" s="380"/>
      <c r="H5" s="380"/>
      <c r="I5" s="379"/>
      <c r="J5" s="381"/>
      <c r="K5" s="389" t="s">
        <v>157</v>
      </c>
      <c r="L5" s="390" t="str">
        <f>IF(OR(E3="----",E3=""),0,E3)</f>
        <v>&gt; 99</v>
      </c>
    </row>
    <row r="6" spans="1:12" ht="12.75">
      <c r="A6" s="379"/>
      <c r="B6" s="382" t="s">
        <v>158</v>
      </c>
      <c r="C6" s="383">
        <f>IF(RESUMEN!E39="NP","NP",ROUND(RESUMEN!E39,2))</f>
        <v>7.03</v>
      </c>
      <c r="D6" s="380"/>
      <c r="E6" s="380"/>
      <c r="F6" s="382"/>
      <c r="G6" s="380"/>
      <c r="H6" s="380"/>
      <c r="I6" s="379"/>
      <c r="J6" s="381"/>
      <c r="K6" s="391" t="s">
        <v>159</v>
      </c>
      <c r="L6" s="390">
        <f>IF(OR(E4="----",E4=""),0,E4)</f>
        <v>0.10156194579922181</v>
      </c>
    </row>
    <row r="7" spans="1:10" ht="12.75">
      <c r="A7" s="379"/>
      <c r="B7" s="379"/>
      <c r="C7" s="380"/>
      <c r="D7" s="379"/>
      <c r="E7" s="379"/>
      <c r="F7" s="379"/>
      <c r="G7" s="379"/>
      <c r="H7" s="379"/>
      <c r="I7" s="379"/>
      <c r="J7" s="381"/>
    </row>
    <row r="8" spans="1:17" ht="45">
      <c r="A8" s="379"/>
      <c r="B8" s="477" t="s">
        <v>160</v>
      </c>
      <c r="C8" s="477"/>
      <c r="D8" s="477"/>
      <c r="E8" s="392" t="s">
        <v>161</v>
      </c>
      <c r="F8" s="393" t="s">
        <v>162</v>
      </c>
      <c r="G8" s="478" t="s">
        <v>163</v>
      </c>
      <c r="H8" s="478"/>
      <c r="I8" s="379"/>
      <c r="J8" s="381"/>
      <c r="L8" s="394" t="s">
        <v>164</v>
      </c>
      <c r="M8" s="482" t="s">
        <v>165</v>
      </c>
      <c r="N8" s="482"/>
      <c r="O8" s="395" t="s">
        <v>166</v>
      </c>
      <c r="P8" s="394" t="s">
        <v>167</v>
      </c>
      <c r="Q8" s="396" t="s">
        <v>168</v>
      </c>
    </row>
    <row r="9" spans="1:17" ht="39.75" customHeight="1">
      <c r="A9" s="379"/>
      <c r="B9" s="483" t="s">
        <v>169</v>
      </c>
      <c r="C9" s="481" t="s">
        <v>170</v>
      </c>
      <c r="D9" s="486" t="s">
        <v>171</v>
      </c>
      <c r="E9" s="397" t="s">
        <v>172</v>
      </c>
      <c r="F9" s="398" t="s">
        <v>173</v>
      </c>
      <c r="G9" s="487" t="s">
        <v>174</v>
      </c>
      <c r="H9" s="488"/>
      <c r="I9" s="379"/>
      <c r="J9" s="381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79"/>
      <c r="B10" s="483"/>
      <c r="C10" s="481"/>
      <c r="D10" s="486"/>
      <c r="E10" s="399" t="s">
        <v>175</v>
      </c>
      <c r="F10" s="400" t="s">
        <v>176</v>
      </c>
      <c r="G10" s="491" t="s">
        <v>177</v>
      </c>
      <c r="H10" s="492"/>
      <c r="I10" s="379"/>
      <c r="J10" s="381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79"/>
      <c r="B11" s="483"/>
      <c r="C11" s="481"/>
      <c r="D11" s="486" t="s">
        <v>178</v>
      </c>
      <c r="E11" s="399" t="s">
        <v>179</v>
      </c>
      <c r="F11" s="401" t="s">
        <v>180</v>
      </c>
      <c r="G11" s="402" t="s">
        <v>181</v>
      </c>
      <c r="H11" s="479" t="s">
        <v>182</v>
      </c>
      <c r="I11" s="379"/>
      <c r="J11" s="381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79"/>
      <c r="B12" s="483"/>
      <c r="C12" s="485"/>
      <c r="D12" s="486"/>
      <c r="E12" s="403" t="s">
        <v>183</v>
      </c>
      <c r="F12" s="400" t="s">
        <v>184</v>
      </c>
      <c r="G12" s="402" t="s">
        <v>185</v>
      </c>
      <c r="H12" s="480"/>
      <c r="I12" s="379"/>
      <c r="J12" s="381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79"/>
      <c r="B13" s="483"/>
      <c r="C13" s="481" t="s">
        <v>186</v>
      </c>
      <c r="D13" s="486" t="s">
        <v>187</v>
      </c>
      <c r="E13" s="404" t="s">
        <v>188</v>
      </c>
      <c r="F13" s="405" t="s">
        <v>189</v>
      </c>
      <c r="G13" s="489" t="s">
        <v>190</v>
      </c>
      <c r="H13" s="490"/>
      <c r="I13" s="379"/>
      <c r="J13" s="381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79"/>
      <c r="B14" s="483"/>
      <c r="C14" s="481"/>
      <c r="D14" s="486"/>
      <c r="E14" s="404" t="s">
        <v>191</v>
      </c>
      <c r="F14" s="405" t="s">
        <v>192</v>
      </c>
      <c r="G14" s="489" t="s">
        <v>193</v>
      </c>
      <c r="H14" s="490"/>
      <c r="I14" s="379"/>
      <c r="J14" s="381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79"/>
      <c r="B15" s="483"/>
      <c r="C15" s="481"/>
      <c r="D15" s="486" t="s">
        <v>194</v>
      </c>
      <c r="E15" s="404" t="s">
        <v>195</v>
      </c>
      <c r="F15" s="406" t="s">
        <v>196</v>
      </c>
      <c r="G15" s="407" t="s">
        <v>197</v>
      </c>
      <c r="H15" s="493" t="s">
        <v>198</v>
      </c>
      <c r="I15" s="379"/>
      <c r="J15" s="381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79"/>
      <c r="B16" s="484"/>
      <c r="C16" s="481"/>
      <c r="D16" s="486"/>
      <c r="E16" s="408" t="s">
        <v>199</v>
      </c>
      <c r="F16" s="406" t="s">
        <v>200</v>
      </c>
      <c r="G16" s="405" t="s">
        <v>201</v>
      </c>
      <c r="H16" s="494"/>
      <c r="I16" s="379"/>
      <c r="J16" s="381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79"/>
      <c r="B17" s="461" t="s">
        <v>202</v>
      </c>
      <c r="C17" s="464" t="s">
        <v>203</v>
      </c>
      <c r="D17" s="465"/>
      <c r="E17" s="409" t="s">
        <v>204</v>
      </c>
      <c r="F17" s="410" t="s">
        <v>205</v>
      </c>
      <c r="G17" s="470" t="s">
        <v>206</v>
      </c>
      <c r="H17" s="471"/>
      <c r="I17" s="379"/>
      <c r="J17" s="381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79"/>
      <c r="B18" s="462"/>
      <c r="C18" s="466"/>
      <c r="D18" s="467"/>
      <c r="E18" s="409" t="s">
        <v>207</v>
      </c>
      <c r="F18" s="410" t="s">
        <v>208</v>
      </c>
      <c r="G18" s="472"/>
      <c r="H18" s="473"/>
      <c r="I18" s="379"/>
      <c r="J18" s="381"/>
      <c r="L18">
        <f>IF(AND(N_200&gt;=50,Ll&lt;50,IP&gt;=7,IP&gt;=0.73*(Ll-20)),"CL","")</f>
      </c>
      <c r="P18">
        <f t="shared" si="0"/>
      </c>
    </row>
    <row r="19" spans="1:16" ht="39.75" customHeight="1">
      <c r="A19" s="379"/>
      <c r="B19" s="462"/>
      <c r="C19" s="468"/>
      <c r="D19" s="469"/>
      <c r="E19" s="409" t="s">
        <v>209</v>
      </c>
      <c r="F19" s="411" t="s">
        <v>210</v>
      </c>
      <c r="G19" s="412"/>
      <c r="H19" s="412"/>
      <c r="I19" s="379"/>
      <c r="J19" s="381"/>
      <c r="L19">
        <f>IF(AND(N_200&gt;=50,Ll&lt;50,IP&gt;=10,IP&lt;0.73*(Ll-20)),"OL","")</f>
      </c>
      <c r="P19">
        <f t="shared" si="0"/>
      </c>
    </row>
    <row r="20" spans="1:16" ht="39.75" customHeight="1">
      <c r="A20" s="379"/>
      <c r="B20" s="462"/>
      <c r="C20" s="466" t="s">
        <v>211</v>
      </c>
      <c r="D20" s="474"/>
      <c r="E20" s="413" t="s">
        <v>212</v>
      </c>
      <c r="F20" s="414" t="s">
        <v>213</v>
      </c>
      <c r="G20" s="379"/>
      <c r="H20" s="379"/>
      <c r="I20" s="379"/>
      <c r="J20" s="381"/>
      <c r="L20">
        <f>IF(AND(N_200&gt;=50,Ll&gt;=50,IP&gt;0,IP&lt;=16),"MH","")</f>
      </c>
      <c r="P20">
        <f t="shared" si="0"/>
      </c>
    </row>
    <row r="21" spans="1:16" ht="39.75" customHeight="1">
      <c r="A21" s="379"/>
      <c r="B21" s="462"/>
      <c r="C21" s="466"/>
      <c r="D21" s="474"/>
      <c r="E21" s="413" t="s">
        <v>214</v>
      </c>
      <c r="F21" s="414" t="s">
        <v>215</v>
      </c>
      <c r="G21" s="379"/>
      <c r="H21" s="379"/>
      <c r="I21" s="379"/>
      <c r="J21" s="381"/>
      <c r="L21">
        <f>IF(AND(N_200&gt;=50,Ll&gt;=50,IP&gt;=0.73*(Ll-20)),"CH","")</f>
      </c>
      <c r="P21">
        <f t="shared" si="0"/>
      </c>
    </row>
    <row r="22" spans="1:16" ht="39.75" customHeight="1">
      <c r="A22" s="379"/>
      <c r="B22" s="462"/>
      <c r="C22" s="468"/>
      <c r="D22" s="475"/>
      <c r="E22" s="415" t="s">
        <v>216</v>
      </c>
      <c r="F22" s="414" t="s">
        <v>217</v>
      </c>
      <c r="G22" s="379"/>
      <c r="H22" s="379"/>
      <c r="I22" s="379"/>
      <c r="J22" s="381"/>
      <c r="L22">
        <f>IF(AND(N_200&gt;=50,Ll&gt;=50,IP&gt;16,IP&lt;0.73*(Ll-20)),"OH","")</f>
      </c>
      <c r="P22">
        <f t="shared" si="0"/>
      </c>
    </row>
    <row r="23" spans="1:16" ht="39.75" customHeight="1">
      <c r="A23" s="379"/>
      <c r="B23" s="462"/>
      <c r="C23" s="464" t="s">
        <v>218</v>
      </c>
      <c r="D23" s="465"/>
      <c r="E23" s="416" t="s">
        <v>219</v>
      </c>
      <c r="F23" s="417" t="s">
        <v>220</v>
      </c>
      <c r="G23" s="379"/>
      <c r="H23" s="379"/>
      <c r="I23" s="379"/>
      <c r="J23" s="381"/>
      <c r="L23">
        <f>IF(AND(N_200&gt;=50,IP&gt;=0.73*(Ll-20),IP&gt;=4,IP&lt;7,IP&lt;0.9*(Ll-8)),"CL-ML","")</f>
      </c>
      <c r="P23">
        <f t="shared" si="0"/>
      </c>
    </row>
    <row r="24" spans="1:16" ht="12.75">
      <c r="A24" s="379"/>
      <c r="B24" s="463"/>
      <c r="C24" s="418"/>
      <c r="D24" s="419"/>
      <c r="E24" s="420"/>
      <c r="F24" s="421"/>
      <c r="G24" s="379"/>
      <c r="H24" s="379"/>
      <c r="I24" s="379"/>
      <c r="J24" s="381"/>
      <c r="P24">
        <f t="shared" si="0"/>
      </c>
    </row>
    <row r="25" spans="1:10" ht="12.75">
      <c r="A25" s="379"/>
      <c r="B25" s="422"/>
      <c r="C25" s="422"/>
      <c r="D25" s="422"/>
      <c r="E25" s="423"/>
      <c r="F25" s="424"/>
      <c r="G25" s="379"/>
      <c r="H25" s="379"/>
      <c r="I25" s="379"/>
      <c r="J25" s="381"/>
    </row>
    <row r="26" spans="1:10" ht="12.75">
      <c r="A26" s="379"/>
      <c r="B26" s="422"/>
      <c r="C26" s="422"/>
      <c r="D26" s="422"/>
      <c r="E26" s="425"/>
      <c r="F26" s="424"/>
      <c r="G26" s="379"/>
      <c r="H26" s="379"/>
      <c r="I26" s="379"/>
      <c r="J26" s="381"/>
    </row>
    <row r="27" spans="1:10" ht="12.75">
      <c r="A27" s="379"/>
      <c r="B27" s="379"/>
      <c r="C27" s="379"/>
      <c r="D27" s="379"/>
      <c r="E27" s="425"/>
      <c r="F27" s="424"/>
      <c r="G27" s="379"/>
      <c r="H27" s="379"/>
      <c r="I27" s="379"/>
      <c r="J27" s="381"/>
    </row>
    <row r="28" spans="1:10" ht="12.75">
      <c r="A28" s="379"/>
      <c r="B28" s="379"/>
      <c r="C28" s="379"/>
      <c r="D28" s="379"/>
      <c r="E28" s="425"/>
      <c r="F28" s="424"/>
      <c r="G28" s="379"/>
      <c r="H28" s="379"/>
      <c r="I28" s="379"/>
      <c r="J28" s="381"/>
    </row>
    <row r="29" spans="1:10" ht="12.75">
      <c r="A29" s="379"/>
      <c r="B29" s="379"/>
      <c r="C29" s="379"/>
      <c r="D29" s="379"/>
      <c r="E29" s="425"/>
      <c r="F29" s="424"/>
      <c r="G29" s="379"/>
      <c r="H29" s="379"/>
      <c r="I29" s="379"/>
      <c r="J29" s="381"/>
    </row>
  </sheetData>
  <sheetProtection/>
  <mergeCells count="22">
    <mergeCell ref="H15:H16"/>
    <mergeCell ref="G13:H13"/>
    <mergeCell ref="M8:N8"/>
    <mergeCell ref="B9:B16"/>
    <mergeCell ref="C9:C12"/>
    <mergeCell ref="D9:D10"/>
    <mergeCell ref="G9:H9"/>
    <mergeCell ref="D13:D14"/>
    <mergeCell ref="G14:H14"/>
    <mergeCell ref="G10:H10"/>
    <mergeCell ref="D11:D12"/>
    <mergeCell ref="D15:D16"/>
    <mergeCell ref="B17:B24"/>
    <mergeCell ref="C17:D19"/>
    <mergeCell ref="G17:H18"/>
    <mergeCell ref="C20:D22"/>
    <mergeCell ref="C23:D23"/>
    <mergeCell ref="B1:H1"/>
    <mergeCell ref="B8:D8"/>
    <mergeCell ref="G8:H8"/>
    <mergeCell ref="H11:H12"/>
    <mergeCell ref="C13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mmostajo</cp:lastModifiedBy>
  <cp:lastPrinted>2007-08-21T23:42:04Z</cp:lastPrinted>
  <dcterms:created xsi:type="dcterms:W3CDTF">2001-12-11T20:36:57Z</dcterms:created>
  <dcterms:modified xsi:type="dcterms:W3CDTF">2008-05-21T00:57:23Z</dcterms:modified>
  <cp:category/>
  <cp:version/>
  <cp:contentType/>
  <cp:contentStatus/>
</cp:coreProperties>
</file>