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9660" windowHeight="6675" tabRatio="595" activeTab="4"/>
  </bookViews>
  <sheets>
    <sheet name="DATOS" sheetId="1" r:id="rId1"/>
    <sheet name="GRANULOM" sheetId="2" r:id="rId2"/>
    <sheet name="W%, P.ESPEC, P.ESP.RELAT" sheetId="3" r:id="rId3"/>
    <sheet name="LIMITES" sheetId="4" r:id="rId4"/>
    <sheet name="RESUMEN" sheetId="5" r:id="rId5"/>
    <sheet name="SUCS" sheetId="6" r:id="rId6"/>
  </sheets>
  <definedNames>
    <definedName name="_xlnm.Print_Area" localSheetId="5">'SUCS'!$A$1:$I$29</definedName>
    <definedName name="CC">'SUCS'!$L$6</definedName>
    <definedName name="CU">'SUCS'!$L$5</definedName>
    <definedName name="GHJ">#REF!</definedName>
    <definedName name="IP">'SUCS'!$L$4</definedName>
    <definedName name="Ll">'SUCS'!$L$3</definedName>
    <definedName name="N_10">'SUCS'!$C$5</definedName>
    <definedName name="N_200">'SUCS'!$C$3</definedName>
    <definedName name="N_40">'SUCS'!$C$4</definedName>
  </definedNames>
  <calcPr fullCalcOnLoad="1"/>
</workbook>
</file>

<file path=xl/sharedStrings.xml><?xml version="1.0" encoding="utf-8"?>
<sst xmlns="http://schemas.openxmlformats.org/spreadsheetml/2006/main" count="369" uniqueCount="224">
  <si>
    <t>DATOS GENERALES</t>
  </si>
  <si>
    <t>INFORME</t>
  </si>
  <si>
    <t>CODIGO</t>
  </si>
  <si>
    <t xml:space="preserve">PROYECTO     </t>
  </si>
  <si>
    <t xml:space="preserve">SOLICITANTE </t>
  </si>
  <si>
    <t>UBICACION</t>
  </si>
  <si>
    <t>FECHA</t>
  </si>
  <si>
    <t>EXPLORACION GEOTECNICA</t>
  </si>
  <si>
    <t>TIPO DE EXPLORACION</t>
  </si>
  <si>
    <t>No  DE EXPLORACION</t>
  </si>
  <si>
    <t>No DE MUESTRA</t>
  </si>
  <si>
    <t>PROFUNDIDAD DEL NIVEL FREATICO</t>
  </si>
  <si>
    <t>(m) :</t>
  </si>
  <si>
    <t xml:space="preserve">PROFUNDIDAD DEL ESTRATO         </t>
  </si>
  <si>
    <t>OBSERVACIONES</t>
  </si>
  <si>
    <t>-</t>
  </si>
  <si>
    <t xml:space="preserve">CONTENIDO DE HUMEDAD </t>
  </si>
  <si>
    <t>ASTM D2216</t>
  </si>
  <si>
    <t>ANALISIS GRANULOMETRICO POR TAMIZADO</t>
  </si>
  <si>
    <t>ASTM D422</t>
  </si>
  <si>
    <r>
      <t>CONTENIDO DE HUMEDAD (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)</t>
    </r>
  </si>
  <si>
    <t xml:space="preserve">No recipiente              </t>
  </si>
  <si>
    <t>W recipiente</t>
  </si>
  <si>
    <t>(gr)</t>
  </si>
  <si>
    <t>W recipiente sw</t>
  </si>
  <si>
    <t>W recipiente s</t>
  </si>
  <si>
    <t xml:space="preserve">W w  :  3-4          </t>
  </si>
  <si>
    <t xml:space="preserve">W s  :  4-2             </t>
  </si>
  <si>
    <r>
      <t>w</t>
    </r>
    <r>
      <rPr>
        <b/>
        <sz val="10"/>
        <rFont val="Arial"/>
        <family val="0"/>
      </rPr>
      <t xml:space="preserve">  :  100*5/6</t>
    </r>
  </si>
  <si>
    <t>(%)</t>
  </si>
  <si>
    <t>ANALISIS GRANULOMETRICO</t>
  </si>
  <si>
    <t>W recipiente s (lavado)</t>
  </si>
  <si>
    <t>W s (lavado)  :  8-2</t>
  </si>
  <si>
    <t>W s fino (platillo)</t>
  </si>
  <si>
    <t>W Total Parcial Retenido</t>
  </si>
  <si>
    <t>D10</t>
  </si>
  <si>
    <t>(mm)</t>
  </si>
  <si>
    <r>
      <t>D</t>
    </r>
    <r>
      <rPr>
        <b/>
        <sz val="10"/>
        <rFont val="Arial"/>
        <family val="0"/>
      </rPr>
      <t xml:space="preserve">W  :  9-11           </t>
    </r>
  </si>
  <si>
    <t>D30</t>
  </si>
  <si>
    <t>W s fino (total)  :  [6-(11-10)-12]</t>
  </si>
  <si>
    <t>D60</t>
  </si>
  <si>
    <t xml:space="preserve">% finos  :  100*13/6        </t>
  </si>
  <si>
    <t>Cu = D60/D10</t>
  </si>
  <si>
    <t xml:space="preserve">Error  :  100*12/9             </t>
  </si>
  <si>
    <t>Cc = D30²/(D10*D60)</t>
  </si>
  <si>
    <t>Tamiz</t>
  </si>
  <si>
    <t>Peso Parcial</t>
  </si>
  <si>
    <t>% Parcial</t>
  </si>
  <si>
    <t>% Acumulado</t>
  </si>
  <si>
    <t xml:space="preserve">% Acumulado </t>
  </si>
  <si>
    <t>Retenido</t>
  </si>
  <si>
    <t xml:space="preserve">Retenido Corregido </t>
  </si>
  <si>
    <t>Que Pasa</t>
  </si>
  <si>
    <t>3"</t>
  </si>
  <si>
    <t>2"</t>
  </si>
  <si>
    <t>1 1/2"</t>
  </si>
  <si>
    <t>1"</t>
  </si>
  <si>
    <t>3/4"</t>
  </si>
  <si>
    <t>3/8"</t>
  </si>
  <si>
    <t>No 004</t>
  </si>
  <si>
    <t>No 010</t>
  </si>
  <si>
    <t>No 020</t>
  </si>
  <si>
    <t>No 040</t>
  </si>
  <si>
    <t>No 060</t>
  </si>
  <si>
    <t>No 100</t>
  </si>
  <si>
    <t>No 200</t>
  </si>
  <si>
    <t>Platillo</t>
  </si>
  <si>
    <t>Total</t>
  </si>
  <si>
    <t>LIMITE LIQUIDO</t>
  </si>
  <si>
    <t>ASTM D4318</t>
  </si>
  <si>
    <t>LIMITE PLASTICO</t>
  </si>
  <si>
    <t>LIMITE DE CONTRACCION</t>
  </si>
  <si>
    <t>ASTM D427</t>
  </si>
  <si>
    <t>No DE ENSAYO</t>
  </si>
  <si>
    <t>LIMITE LIQUIDO (LL)</t>
  </si>
  <si>
    <t>No recipiente</t>
  </si>
  <si>
    <t>No golpes</t>
  </si>
  <si>
    <t xml:space="preserve">W w  :  4-5          </t>
  </si>
  <si>
    <t xml:space="preserve">W s  :  5-3             </t>
  </si>
  <si>
    <r>
      <t>w</t>
    </r>
    <r>
      <rPr>
        <b/>
        <sz val="10"/>
        <rFont val="Arial"/>
        <family val="0"/>
      </rPr>
      <t xml:space="preserve">  :  100*6/7</t>
    </r>
  </si>
  <si>
    <t>LL</t>
  </si>
  <si>
    <t>Límite inferior Eje X</t>
  </si>
  <si>
    <t>Límite superior Eje X</t>
  </si>
  <si>
    <t>Límite inferior Eje Y</t>
  </si>
  <si>
    <t>Límite superior Eje Y</t>
  </si>
  <si>
    <t>25 Golpes</t>
  </si>
  <si>
    <t>Recta de Ajuste</t>
  </si>
  <si>
    <t>LIMITE PLASTICO (LP)</t>
  </si>
  <si>
    <t xml:space="preserve">LP  :  100*5/6     </t>
  </si>
  <si>
    <t>LP promedio</t>
  </si>
  <si>
    <t>LIMITE DE CONTRACCION (LC)</t>
  </si>
  <si>
    <t>V recipiente</t>
  </si>
  <si>
    <t>(cc)</t>
  </si>
  <si>
    <t>V contraccion</t>
  </si>
  <si>
    <r>
      <t>w</t>
    </r>
    <r>
      <rPr>
        <b/>
        <sz val="10"/>
        <rFont val="Arial"/>
        <family val="2"/>
      </rPr>
      <t xml:space="preserve">  :  100*7/8</t>
    </r>
  </si>
  <si>
    <t>LC  :  9-100*(5-6)/8</t>
  </si>
  <si>
    <t>LC promedio</t>
  </si>
  <si>
    <t>ENSAYOS</t>
  </si>
  <si>
    <t>:</t>
  </si>
  <si>
    <t>ESTANDAR DE CLASIFICACION</t>
  </si>
  <si>
    <t>NORMAS</t>
  </si>
  <si>
    <t>ASTM D422 - D2216 - D854 - D4318 - D427 - D2487</t>
  </si>
  <si>
    <t xml:space="preserve">INFORME </t>
  </si>
  <si>
    <t>D10 (mm)</t>
  </si>
  <si>
    <t>Cu</t>
  </si>
  <si>
    <t>D30 (mm)</t>
  </si>
  <si>
    <t>Cc</t>
  </si>
  <si>
    <t>D60 (mm)</t>
  </si>
  <si>
    <t>PESO ESP. RELATIVO DE SOLIDOS (Ss)</t>
  </si>
  <si>
    <r>
      <t>PESO ESPECIFICO NATURAL (</t>
    </r>
    <r>
      <rPr>
        <sz val="8"/>
        <color indexed="8"/>
        <rFont val="Symbol"/>
        <family val="1"/>
      </rPr>
      <t>g</t>
    </r>
    <r>
      <rPr>
        <sz val="8"/>
        <color indexed="8"/>
        <rFont val="Arial"/>
        <family val="2"/>
      </rPr>
      <t>)</t>
    </r>
  </si>
  <si>
    <t>(gr/cc)</t>
  </si>
  <si>
    <r>
      <t>HUMEDAD NATURAL (</t>
    </r>
    <r>
      <rPr>
        <sz val="8"/>
        <color indexed="8"/>
        <rFont val="Symbol"/>
        <family val="1"/>
      </rPr>
      <t>w</t>
    </r>
    <r>
      <rPr>
        <sz val="8"/>
        <color indexed="8"/>
        <rFont val="Arial"/>
        <family val="2"/>
      </rPr>
      <t>)</t>
    </r>
    <r>
      <rPr>
        <sz val="8"/>
        <color indexed="8"/>
        <rFont val="Arial"/>
        <family val="2"/>
      </rPr>
      <t xml:space="preserve"> </t>
    </r>
  </si>
  <si>
    <t xml:space="preserve">LIMITE LIQUIDO  (LL)                  </t>
  </si>
  <si>
    <t>LIMITE PLASTICO  (LP)</t>
  </si>
  <si>
    <t>INDICE PLASTICO (IP)</t>
  </si>
  <si>
    <t>CLASIFICACION  S.U.C.S.</t>
  </si>
  <si>
    <t>OBSERVACIONES  :</t>
  </si>
  <si>
    <t>C1</t>
  </si>
  <si>
    <t>14 AGOSTO 2007</t>
  </si>
  <si>
    <t>M1</t>
  </si>
  <si>
    <t>ESTABILIDAD DE TALUDES</t>
  </si>
  <si>
    <t>JORGE MOSTAJO CARBONEL</t>
  </si>
  <si>
    <t>HUAYUCHACA - ACCESO A LA PROVINCIA DE CAJAY - HUARI</t>
  </si>
  <si>
    <t>EST. DE PROB. FALLA E IMPLEMET. ALTERN.  SOLUC DESLIZAM. TALUD.EN LA ZONA ANDINA</t>
  </si>
  <si>
    <t>LEM 15</t>
  </si>
  <si>
    <t>C1-M1</t>
  </si>
  <si>
    <t>PRESENCIA DE NIVEL FREATICO - FLUJO SUBTERREANEO</t>
  </si>
  <si>
    <t>PRESENCIA DE ROCA ANGULOSA</t>
  </si>
  <si>
    <t>CALICATA</t>
  </si>
  <si>
    <t>PESO ESPECIFICO NATUAL</t>
  </si>
  <si>
    <t>PESO ESPECIFICO RELATIVO DE LOS SOLIDOS</t>
  </si>
  <si>
    <t>ASTM D854</t>
  </si>
  <si>
    <t>NUMERO DE ENSAYO</t>
  </si>
  <si>
    <r>
      <rPr>
        <b/>
        <sz val="10"/>
        <rFont val="Arial"/>
        <family val="2"/>
      </rPr>
      <t>PROMEDIO</t>
    </r>
    <r>
      <rPr>
        <b/>
        <sz val="10"/>
        <rFont val="Symbol"/>
        <family val="1"/>
      </rPr>
      <t xml:space="preserve"> w</t>
    </r>
    <r>
      <rPr>
        <b/>
        <sz val="10"/>
        <rFont val="Arial"/>
        <family val="0"/>
      </rPr>
      <t xml:space="preserve"> </t>
    </r>
  </si>
  <si>
    <r>
      <t>PESO ESPECIFICO NATURAL (</t>
    </r>
    <r>
      <rPr>
        <b/>
        <sz val="10"/>
        <rFont val="Symbol"/>
        <family val="1"/>
      </rPr>
      <t>g</t>
    </r>
    <r>
      <rPr>
        <b/>
        <sz val="10"/>
        <rFont val="Arial"/>
        <family val="2"/>
      </rPr>
      <t>)</t>
    </r>
  </si>
  <si>
    <t>PESO ESPECIFICO RELATIVO DE SOLIDOS (Gs)</t>
  </si>
  <si>
    <r>
      <rPr>
        <b/>
        <sz val="10"/>
        <rFont val="Symbol"/>
        <family val="1"/>
      </rPr>
      <t>g</t>
    </r>
    <r>
      <rPr>
        <b/>
        <sz val="10"/>
        <rFont val="Arial"/>
        <family val="2"/>
      </rPr>
      <t xml:space="preserve"> Parafina</t>
    </r>
  </si>
  <si>
    <t>Constante del sifon</t>
  </si>
  <si>
    <t>W sw</t>
  </si>
  <si>
    <t>W parafina sw</t>
  </si>
  <si>
    <t>W parafina : 4-3</t>
  </si>
  <si>
    <t>V parafina swa</t>
  </si>
  <si>
    <t>V parafina swa efectivo : 5-2</t>
  </si>
  <si>
    <t>V parafina : 6/1</t>
  </si>
  <si>
    <t>V sma : 7-8</t>
  </si>
  <si>
    <r>
      <t>g</t>
    </r>
    <r>
      <rPr>
        <b/>
        <sz val="10"/>
        <rFont val="Arial"/>
        <family val="0"/>
      </rPr>
      <t xml:space="preserve">  :  3/9</t>
    </r>
  </si>
  <si>
    <t>No frasco</t>
  </si>
  <si>
    <t>W frasco w</t>
  </si>
  <si>
    <t>W frasco sw</t>
  </si>
  <si>
    <t>W s :  6-5</t>
  </si>
  <si>
    <t>Gs : 7/(2-3+7)</t>
  </si>
  <si>
    <t>SISTEMA UNIFICADO DE CLASIFICACION</t>
  </si>
  <si>
    <t>N 200=</t>
  </si>
  <si>
    <t>Cu =</t>
  </si>
  <si>
    <t>L.L.</t>
  </si>
  <si>
    <t>N 4=</t>
  </si>
  <si>
    <t>Cc =</t>
  </si>
  <si>
    <t>CLASIFICACION SUCS</t>
  </si>
  <si>
    <t>I.P.</t>
  </si>
  <si>
    <t>L.L.=</t>
  </si>
  <si>
    <t>CU</t>
  </si>
  <si>
    <t>I.P.=</t>
  </si>
  <si>
    <t>CC</t>
  </si>
  <si>
    <t>DIVISIONES MAYORES</t>
  </si>
  <si>
    <t>SIMBOLO
DE GRUPO</t>
  </si>
  <si>
    <t>NOMBRES TIPICOS</t>
  </si>
  <si>
    <t>CRITERIOS DE CLASIFICACION
PARA SUELOS GRANULARES</t>
  </si>
  <si>
    <t>CLASIF</t>
  </si>
  <si>
    <t>SIMBOLOS
 DOBLES</t>
  </si>
  <si>
    <t>SIMBOLOS 
TRIPLES</t>
  </si>
  <si>
    <t>CLASIFICACION</t>
  </si>
  <si>
    <t>SIMBOLO</t>
  </si>
  <si>
    <t>Suelos de grano grueso
(mas  del 50 % del material es mayor en tamaño que el tamiz No 200</t>
  </si>
  <si>
    <t>Gravas
(mas de la mitad de la fracción
gruesa es mayor que el tamiz No 4)</t>
  </si>
  <si>
    <t>Gravas Limpias
(poco o
ningun fino)</t>
  </si>
  <si>
    <t>GW</t>
  </si>
  <si>
    <t>Gravas bien gradadas, mezclas gravosas, poco o ningun fino</t>
  </si>
  <si>
    <t>Cu &gt; 4
1 &lt; Cc &lt; 3</t>
  </si>
  <si>
    <t>GP</t>
  </si>
  <si>
    <t>Gravas pobremente gradadas,`mezclas grava-arena, pocos o ningun fino</t>
  </si>
  <si>
    <t>No cumple todos los requisitos
de gradadcion para GW</t>
  </si>
  <si>
    <t>Gravas con finos
(cantidad apre-
ciable de finos)</t>
  </si>
  <si>
    <t>GM</t>
  </si>
  <si>
    <t>Gravas limosas, mezcla grava- arena-limo</t>
  </si>
  <si>
    <t>Límites de Atteberg por debajo de la linea A o Ip &lt; 4</t>
  </si>
  <si>
    <t>A los materiales sobre la linea A con 4 &lt; Ip &lt; 7 se considera de frontera y se les asigna doble símbolo</t>
  </si>
  <si>
    <t>GC</t>
  </si>
  <si>
    <t>Gravas arcillosas, mezcla gravo-areno-
arcillosas</t>
  </si>
  <si>
    <t>Límites de Atteberg por encima de la línea A ó Ip &gt; 7</t>
  </si>
  <si>
    <t>Arenas
(mas de la mitad de la fracción
gruesa es menor que el tamiz No 4)</t>
  </si>
  <si>
    <t>Arenas Limpias
(poco o
ningun fino)</t>
  </si>
  <si>
    <t>SW</t>
  </si>
  <si>
    <t>Arenas bien gradadas, arenas gravosas, 
pocos o ningun fino</t>
  </si>
  <si>
    <t>Cu &gt; 6
1 &lt; Cc &lt; 3</t>
  </si>
  <si>
    <t>SP</t>
  </si>
  <si>
    <t>Arenas pobremente gradadas, arenas
gravosas, pocos o ningun fino</t>
  </si>
  <si>
    <t>No cumple todos los requisitos
de gradadcion para SW</t>
  </si>
  <si>
    <t>Arenas con finos
(cantidad apre-
ciable de finos)</t>
  </si>
  <si>
    <t>SM</t>
  </si>
  <si>
    <t>Arenas limosas mezcla de arena-limo</t>
  </si>
  <si>
    <t>Límites de Atteberg
por debajo de la 
linea A ó Ip &lt; 4</t>
  </si>
  <si>
    <t>Si el material está
en la zona sombreada
 con 4 &lt; Ip &lt; 7 se
considera de 
frontera y se les
asigna doble
símbolo</t>
  </si>
  <si>
    <t>SC</t>
  </si>
  <si>
    <t>Arenas arcillosas, mezclas arena-arcilla</t>
  </si>
  <si>
    <t>Límites de Atteberg
por encima de la 
linea A ó Ip &gt; 7</t>
  </si>
  <si>
    <t>Suelos de grano fino
(mas  del 50 % del material pasa el tamiz No 200</t>
  </si>
  <si>
    <t>limos y arcillas
(Límite líquido wl&lt;50</t>
  </si>
  <si>
    <t>ML</t>
  </si>
  <si>
    <t>Limos inorgánicos y arena muy finas, polvo
de roca, arenas finas limosas o arcillosas,
o limos arcillosos con poca plasticidad</t>
  </si>
  <si>
    <t>1, Determinar el porcentaje de arenas y
     gravas de la curva granulometrica.
2, Dependiendo del porcentaje de fino
    (fracción menor que el tamiz No 200 los
     suelos gruesos se clasifican como sigue:
    Menos del 5%  - GW, GP, SW, SP 
    Mas del 12 %  -   GM, GC, SM, SC
    De 5 a 12 %  -  casos frontera que 
    requieren doble símbolo</t>
  </si>
  <si>
    <t>CL</t>
  </si>
  <si>
    <t>Arcillas inorganicas de plasticidad baja a
media, arcillas gravosas, arcillas arenosas,
arcillas limosas, arcillas magras.</t>
  </si>
  <si>
    <t>OL</t>
  </si>
  <si>
    <t>Limos organicos, arcillas limosas orgánicas
de baja plasticidad</t>
  </si>
  <si>
    <t>limos y arcillas
(Límite líquido wl&gt;50</t>
  </si>
  <si>
    <t>MH</t>
  </si>
  <si>
    <t>Limos inorganicos, suelos limosos o arenosos
finos micaceos o diatomaceos, suelos
elasticos.</t>
  </si>
  <si>
    <t>CH</t>
  </si>
  <si>
    <t>Arcillas organicas de alta plasticidad,
arcillas grasas.</t>
  </si>
  <si>
    <t>OH</t>
  </si>
  <si>
    <t>Arcillas organicas de plasticidad media a alta,
limos orgánicos</t>
  </si>
  <si>
    <t>Suelos
Altamen-
te orgá-
nicos</t>
  </si>
  <si>
    <t>Pt</t>
  </si>
  <si>
    <t>Turba o otros suelos altamente organicos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</si>
</sst>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0.000"/>
    <numFmt numFmtId="177" formatCode="0.000"/>
    <numFmt numFmtId="178" formatCode="0.0000"/>
    <numFmt numFmtId="179" formatCode="0.00000"/>
    <numFmt numFmtId="180" formatCode="0.0"/>
    <numFmt numFmtId="181" formatCode="0000000"/>
    <numFmt numFmtId="182" formatCode="dd\-mmmm\-yyyy"/>
    <numFmt numFmtId="183" formatCode="0.000000"/>
    <numFmt numFmtId="184" formatCode="0.0000000"/>
    <numFmt numFmtId="185" formatCode="0.00000000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24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Symbol"/>
      <family val="1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10"/>
      <name val="Bookman Old Style"/>
      <family val="1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Symbol"/>
      <family val="1"/>
    </font>
    <font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i/>
      <sz val="12"/>
      <color indexed="13"/>
      <name val="Arial"/>
      <family val="2"/>
    </font>
    <font>
      <b/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9"/>
      <color indexed="13"/>
      <name val="Arial"/>
      <family val="2"/>
    </font>
    <font>
      <b/>
      <sz val="10"/>
      <color indexed="43"/>
      <name val="Arial"/>
      <family val="2"/>
    </font>
    <font>
      <sz val="8"/>
      <color indexed="43"/>
      <name val="Arial"/>
      <family val="2"/>
    </font>
    <font>
      <sz val="8"/>
      <color indexed="51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47"/>
      <name val="Arial"/>
      <family val="2"/>
    </font>
    <font>
      <sz val="8"/>
      <color indexed="47"/>
      <name val="Arial"/>
      <family val="2"/>
    </font>
    <font>
      <sz val="10"/>
      <color indexed="47"/>
      <name val="Arial"/>
      <family val="2"/>
    </font>
    <font>
      <b/>
      <sz val="8"/>
      <color indexed="45"/>
      <name val="Arial"/>
      <family val="2"/>
    </font>
    <font>
      <sz val="8"/>
      <color indexed="4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17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58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b/>
      <sz val="11"/>
      <color indexed="57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50"/>
      <name val="Arial"/>
      <family val="2"/>
    </font>
    <font>
      <sz val="7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8"/>
      <color rgb="FF00B050"/>
      <name val="Arial"/>
      <family val="2"/>
    </font>
    <font>
      <sz val="10"/>
      <color rgb="FF00B050"/>
      <name val="Arial"/>
      <family val="2"/>
    </font>
    <font>
      <b/>
      <sz val="10"/>
      <color theme="6" tint="-0.2499700039625167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8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68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49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2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Continuous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right"/>
      <protection/>
    </xf>
    <xf numFmtId="0" fontId="0" fillId="34" borderId="0" xfId="0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 horizontal="centerContinuous"/>
      <protection/>
    </xf>
    <xf numFmtId="0" fontId="1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2" fontId="6" fillId="34" borderId="0" xfId="0" applyNumberFormat="1" applyFont="1" applyFill="1" applyBorder="1" applyAlignment="1" applyProtection="1">
      <alignment horizontal="right"/>
      <protection/>
    </xf>
    <xf numFmtId="0" fontId="10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/>
      <protection/>
    </xf>
    <xf numFmtId="2" fontId="9" fillId="36" borderId="15" xfId="0" applyNumberFormat="1" applyFont="1" applyFill="1" applyBorder="1" applyAlignment="1" applyProtection="1">
      <alignment horizontal="right"/>
      <protection/>
    </xf>
    <xf numFmtId="1" fontId="6" fillId="36" borderId="16" xfId="0" applyNumberFormat="1" applyFont="1" applyFill="1" applyBorder="1" applyAlignment="1" applyProtection="1">
      <alignment horizontal="right"/>
      <protection locked="0"/>
    </xf>
    <xf numFmtId="0" fontId="1" fillId="33" borderId="12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16" fillId="37" borderId="15" xfId="0" applyFont="1" applyFill="1" applyBorder="1" applyAlignment="1" applyProtection="1">
      <alignment horizontal="right"/>
      <protection/>
    </xf>
    <xf numFmtId="0" fontId="1" fillId="37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 horizontal="right"/>
      <protection/>
    </xf>
    <xf numFmtId="2" fontId="9" fillId="36" borderId="16" xfId="0" applyNumberFormat="1" applyFont="1" applyFill="1" applyBorder="1" applyAlignment="1" applyProtection="1">
      <alignment horizontal="right"/>
      <protection/>
    </xf>
    <xf numFmtId="2" fontId="9" fillId="36" borderId="14" xfId="0" applyNumberFormat="1" applyFont="1" applyFill="1" applyBorder="1" applyAlignment="1" applyProtection="1">
      <alignment horizontal="right"/>
      <protection/>
    </xf>
    <xf numFmtId="2" fontId="6" fillId="36" borderId="16" xfId="0" applyNumberFormat="1" applyFont="1" applyFill="1" applyBorder="1" applyAlignment="1" applyProtection="1">
      <alignment horizontal="right"/>
      <protection locked="0"/>
    </xf>
    <xf numFmtId="2" fontId="9" fillId="36" borderId="18" xfId="0" applyNumberFormat="1" applyFont="1" applyFill="1" applyBorder="1" applyAlignment="1" applyProtection="1">
      <alignment horizontal="right"/>
      <protection/>
    </xf>
    <xf numFmtId="2" fontId="9" fillId="34" borderId="0" xfId="0" applyNumberFormat="1" applyFont="1" applyFill="1" applyBorder="1" applyAlignment="1" applyProtection="1">
      <alignment horizontal="right"/>
      <protection/>
    </xf>
    <xf numFmtId="0" fontId="0" fillId="36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1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11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/>
      <protection/>
    </xf>
    <xf numFmtId="2" fontId="9" fillId="36" borderId="13" xfId="0" applyNumberFormat="1" applyFont="1" applyFill="1" applyBorder="1" applyAlignment="1" applyProtection="1">
      <alignment horizontal="right"/>
      <protection/>
    </xf>
    <xf numFmtId="1" fontId="6" fillId="36" borderId="19" xfId="0" applyNumberFormat="1" applyFont="1" applyFill="1" applyBorder="1" applyAlignment="1" applyProtection="1">
      <alignment horizontal="right"/>
      <protection locked="0"/>
    </xf>
    <xf numFmtId="1" fontId="6" fillId="36" borderId="20" xfId="0" applyNumberFormat="1" applyFont="1" applyFill="1" applyBorder="1" applyAlignment="1" applyProtection="1">
      <alignment horizontal="right"/>
      <protection locked="0"/>
    </xf>
    <xf numFmtId="2" fontId="6" fillId="36" borderId="21" xfId="0" applyNumberFormat="1" applyFont="1" applyFill="1" applyBorder="1" applyAlignment="1" applyProtection="1">
      <alignment horizontal="right"/>
      <protection locked="0"/>
    </xf>
    <xf numFmtId="2" fontId="6" fillId="36" borderId="22" xfId="0" applyNumberFormat="1" applyFont="1" applyFill="1" applyBorder="1" applyAlignment="1" applyProtection="1">
      <alignment horizontal="right"/>
      <protection locked="0"/>
    </xf>
    <xf numFmtId="2" fontId="9" fillId="36" borderId="21" xfId="0" applyNumberFormat="1" applyFont="1" applyFill="1" applyBorder="1" applyAlignment="1" applyProtection="1">
      <alignment horizontal="right"/>
      <protection/>
    </xf>
    <xf numFmtId="2" fontId="9" fillId="36" borderId="23" xfId="0" applyNumberFormat="1" applyFont="1" applyFill="1" applyBorder="1" applyAlignment="1" applyProtection="1">
      <alignment horizontal="right"/>
      <protection/>
    </xf>
    <xf numFmtId="2" fontId="9" fillId="36" borderId="0" xfId="0" applyNumberFormat="1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11" fillId="33" borderId="16" xfId="0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right"/>
      <protection/>
    </xf>
    <xf numFmtId="0" fontId="1" fillId="33" borderId="25" xfId="0" applyFont="1" applyFill="1" applyBorder="1" applyAlignment="1" applyProtection="1">
      <alignment horizontal="right"/>
      <protection/>
    </xf>
    <xf numFmtId="0" fontId="1" fillId="33" borderId="18" xfId="0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6" fillId="36" borderId="15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" fontId="6" fillId="34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2" fontId="0" fillId="34" borderId="0" xfId="0" applyNumberFormat="1" applyFont="1" applyFill="1" applyAlignment="1" applyProtection="1">
      <alignment/>
      <protection/>
    </xf>
    <xf numFmtId="0" fontId="1" fillId="36" borderId="28" xfId="0" applyFont="1" applyFill="1" applyBorder="1" applyAlignment="1" applyProtection="1">
      <alignment/>
      <protection/>
    </xf>
    <xf numFmtId="0" fontId="1" fillId="36" borderId="29" xfId="0" applyFont="1" applyFill="1" applyBorder="1" applyAlignment="1" applyProtection="1">
      <alignment/>
      <protection/>
    </xf>
    <xf numFmtId="0" fontId="1" fillId="36" borderId="30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left"/>
      <protection/>
    </xf>
    <xf numFmtId="0" fontId="1" fillId="33" borderId="26" xfId="0" applyFont="1" applyFill="1" applyBorder="1" applyAlignment="1" applyProtection="1">
      <alignment/>
      <protection/>
    </xf>
    <xf numFmtId="0" fontId="1" fillId="33" borderId="31" xfId="0" applyFont="1" applyFill="1" applyBorder="1" applyAlignment="1" applyProtection="1">
      <alignment horizontal="right"/>
      <protection/>
    </xf>
    <xf numFmtId="0" fontId="1" fillId="33" borderId="18" xfId="0" applyFont="1" applyFill="1" applyBorder="1" applyAlignment="1" applyProtection="1">
      <alignment/>
      <protection/>
    </xf>
    <xf numFmtId="0" fontId="1" fillId="37" borderId="30" xfId="0" applyFont="1" applyFill="1" applyBorder="1" applyAlignment="1" applyProtection="1">
      <alignment horizontal="center"/>
      <protection/>
    </xf>
    <xf numFmtId="1" fontId="8" fillId="36" borderId="32" xfId="0" applyNumberFormat="1" applyFont="1" applyFill="1" applyBorder="1" applyAlignment="1" applyProtection="1">
      <alignment horizontal="center"/>
      <protection/>
    </xf>
    <xf numFmtId="0" fontId="1" fillId="36" borderId="33" xfId="0" applyFont="1" applyFill="1" applyBorder="1" applyAlignment="1" applyProtection="1">
      <alignment/>
      <protection/>
    </xf>
    <xf numFmtId="0" fontId="1" fillId="36" borderId="32" xfId="0" applyFont="1" applyFill="1" applyBorder="1" applyAlignment="1" applyProtection="1">
      <alignment/>
      <protection/>
    </xf>
    <xf numFmtId="2" fontId="9" fillId="36" borderId="33" xfId="0" applyNumberFormat="1" applyFont="1" applyFill="1" applyBorder="1" applyAlignment="1" applyProtection="1">
      <alignment horizontal="right"/>
      <protection/>
    </xf>
    <xf numFmtId="2" fontId="9" fillId="36" borderId="29" xfId="0" applyNumberFormat="1" applyFont="1" applyFill="1" applyBorder="1" applyAlignment="1" applyProtection="1">
      <alignment horizontal="right"/>
      <protection/>
    </xf>
    <xf numFmtId="2" fontId="9" fillId="36" borderId="32" xfId="0" applyNumberFormat="1" applyFont="1" applyFill="1" applyBorder="1" applyAlignment="1" applyProtection="1">
      <alignment horizontal="right"/>
      <protection/>
    </xf>
    <xf numFmtId="2" fontId="6" fillId="36" borderId="11" xfId="0" applyNumberFormat="1" applyFont="1" applyFill="1" applyBorder="1" applyAlignment="1" applyProtection="1">
      <alignment horizontal="right"/>
      <protection locked="0"/>
    </xf>
    <xf numFmtId="0" fontId="0" fillId="36" borderId="18" xfId="0" applyFill="1" applyBorder="1" applyAlignment="1" applyProtection="1">
      <alignment/>
      <protection/>
    </xf>
    <xf numFmtId="2" fontId="9" fillId="36" borderId="31" xfId="0" applyNumberFormat="1" applyFont="1" applyFill="1" applyBorder="1" applyAlignment="1" applyProtection="1">
      <alignment horizontal="right"/>
      <protection/>
    </xf>
    <xf numFmtId="2" fontId="9" fillId="36" borderId="34" xfId="0" applyNumberFormat="1" applyFont="1" applyFill="1" applyBorder="1" applyAlignment="1" applyProtection="1">
      <alignment horizontal="right"/>
      <protection/>
    </xf>
    <xf numFmtId="2" fontId="9" fillId="36" borderId="10" xfId="0" applyNumberFormat="1" applyFont="1" applyFill="1" applyBorder="1" applyAlignment="1" applyProtection="1">
      <alignment horizontal="right"/>
      <protection/>
    </xf>
    <xf numFmtId="0" fontId="0" fillId="36" borderId="15" xfId="0" applyFont="1" applyFill="1" applyBorder="1" applyAlignment="1" applyProtection="1">
      <alignment horizontal="right"/>
      <protection/>
    </xf>
    <xf numFmtId="2" fontId="9" fillId="36" borderId="30" xfId="0" applyNumberFormat="1" applyFont="1" applyFill="1" applyBorder="1" applyAlignment="1" applyProtection="1">
      <alignment horizontal="right"/>
      <protection/>
    </xf>
    <xf numFmtId="2" fontId="11" fillId="36" borderId="30" xfId="0" applyNumberFormat="1" applyFont="1" applyFill="1" applyBorder="1" applyAlignment="1" applyProtection="1">
      <alignment horizontal="center"/>
      <protection/>
    </xf>
    <xf numFmtId="2" fontId="11" fillId="36" borderId="15" xfId="0" applyNumberFormat="1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/>
      <protection/>
    </xf>
    <xf numFmtId="0" fontId="1" fillId="33" borderId="36" xfId="0" applyFont="1" applyFill="1" applyBorder="1" applyAlignment="1" applyProtection="1">
      <alignment/>
      <protection/>
    </xf>
    <xf numFmtId="0" fontId="1" fillId="33" borderId="37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38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/>
      <protection/>
    </xf>
    <xf numFmtId="0" fontId="11" fillId="35" borderId="12" xfId="0" applyFont="1" applyFill="1" applyBorder="1" applyAlignment="1" applyProtection="1">
      <alignment horizontal="center"/>
      <protection/>
    </xf>
    <xf numFmtId="0" fontId="11" fillId="35" borderId="26" xfId="0" applyFont="1" applyFill="1" applyBorder="1" applyAlignment="1" applyProtection="1">
      <alignment horizontal="center"/>
      <protection/>
    </xf>
    <xf numFmtId="0" fontId="11" fillId="35" borderId="31" xfId="0" applyFont="1" applyFill="1" applyBorder="1" applyAlignment="1" applyProtection="1">
      <alignment horizontal="center"/>
      <protection/>
    </xf>
    <xf numFmtId="0" fontId="14" fillId="35" borderId="17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/>
      <protection/>
    </xf>
    <xf numFmtId="0" fontId="14" fillId="35" borderId="40" xfId="0" applyFont="1" applyFill="1" applyBorder="1" applyAlignment="1" applyProtection="1">
      <alignment/>
      <protection/>
    </xf>
    <xf numFmtId="179" fontId="9" fillId="35" borderId="17" xfId="0" applyNumberFormat="1" applyFont="1" applyFill="1" applyBorder="1" applyAlignment="1" applyProtection="1">
      <alignment horizontal="centerContinuous"/>
      <protection/>
    </xf>
    <xf numFmtId="179" fontId="9" fillId="35" borderId="0" xfId="0" applyNumberFormat="1" applyFont="1" applyFill="1" applyBorder="1" applyAlignment="1" applyProtection="1">
      <alignment horizontal="centerContinuous"/>
      <protection/>
    </xf>
    <xf numFmtId="179" fontId="9" fillId="35" borderId="40" xfId="0" applyNumberFormat="1" applyFont="1" applyFill="1" applyBorder="1" applyAlignment="1" applyProtection="1">
      <alignment horizontal="centerContinuous"/>
      <protection/>
    </xf>
    <xf numFmtId="179" fontId="9" fillId="35" borderId="38" xfId="0" applyNumberFormat="1" applyFont="1" applyFill="1" applyBorder="1" applyAlignment="1" applyProtection="1">
      <alignment horizontal="centerContinuous"/>
      <protection/>
    </xf>
    <xf numFmtId="179" fontId="9" fillId="35" borderId="37" xfId="0" applyNumberFormat="1" applyFont="1" applyFill="1" applyBorder="1" applyAlignment="1" applyProtection="1">
      <alignment horizontal="centerContinuous"/>
      <protection/>
    </xf>
    <xf numFmtId="179" fontId="9" fillId="35" borderId="39" xfId="0" applyNumberFormat="1" applyFont="1" applyFill="1" applyBorder="1" applyAlignment="1" applyProtection="1">
      <alignment horizontal="centerContinuous"/>
      <protection/>
    </xf>
    <xf numFmtId="0" fontId="1" fillId="35" borderId="12" xfId="0" applyFont="1" applyFill="1" applyBorder="1" applyAlignment="1" applyProtection="1">
      <alignment/>
      <protection/>
    </xf>
    <xf numFmtId="0" fontId="1" fillId="35" borderId="31" xfId="0" applyFont="1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/>
      <protection/>
    </xf>
    <xf numFmtId="0" fontId="1" fillId="35" borderId="40" xfId="0" applyFont="1" applyFill="1" applyBorder="1" applyAlignment="1" applyProtection="1">
      <alignment/>
      <protection/>
    </xf>
    <xf numFmtId="0" fontId="1" fillId="35" borderId="38" xfId="0" applyFont="1" applyFill="1" applyBorder="1" applyAlignment="1" applyProtection="1">
      <alignment/>
      <protection/>
    </xf>
    <xf numFmtId="0" fontId="1" fillId="35" borderId="39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 horizontal="centerContinuous"/>
      <protection/>
    </xf>
    <xf numFmtId="0" fontId="1" fillId="33" borderId="31" xfId="0" applyFont="1" applyFill="1" applyBorder="1" applyAlignment="1" applyProtection="1">
      <alignment horizontal="centerContinuous"/>
      <protection/>
    </xf>
    <xf numFmtId="0" fontId="0" fillId="33" borderId="26" xfId="0" applyFont="1" applyFill="1" applyBorder="1" applyAlignment="1" applyProtection="1">
      <alignment horizontal="centerContinuous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Continuous"/>
      <protection/>
    </xf>
    <xf numFmtId="0" fontId="1" fillId="33" borderId="28" xfId="0" applyFont="1" applyFill="1" applyBorder="1" applyAlignment="1" applyProtection="1">
      <alignment horizontal="centerContinuous"/>
      <protection/>
    </xf>
    <xf numFmtId="0" fontId="1" fillId="33" borderId="17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Continuous"/>
      <protection/>
    </xf>
    <xf numFmtId="0" fontId="1" fillId="33" borderId="40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Continuous"/>
      <protection/>
    </xf>
    <xf numFmtId="0" fontId="1" fillId="33" borderId="34" xfId="0" applyFont="1" applyFill="1" applyBorder="1" applyAlignment="1" applyProtection="1">
      <alignment horizontal="center"/>
      <protection/>
    </xf>
    <xf numFmtId="0" fontId="1" fillId="33" borderId="37" xfId="0" applyFont="1" applyFill="1" applyBorder="1" applyAlignment="1" applyProtection="1">
      <alignment horizontal="centerContinuous"/>
      <protection/>
    </xf>
    <xf numFmtId="0" fontId="1" fillId="33" borderId="41" xfId="0" applyFont="1" applyFill="1" applyBorder="1" applyAlignment="1" applyProtection="1">
      <alignment horizontal="centerContinuous"/>
      <protection/>
    </xf>
    <xf numFmtId="0" fontId="1" fillId="33" borderId="39" xfId="0" applyFont="1" applyFill="1" applyBorder="1" applyAlignment="1" applyProtection="1">
      <alignment horizontal="centerContinuous"/>
      <protection/>
    </xf>
    <xf numFmtId="0" fontId="1" fillId="33" borderId="10" xfId="0" applyFont="1" applyFill="1" applyBorder="1" applyAlignment="1" applyProtection="1">
      <alignment horizontal="centerContinuous"/>
      <protection/>
    </xf>
    <xf numFmtId="0" fontId="1" fillId="33" borderId="15" xfId="0" applyFont="1" applyFill="1" applyBorder="1" applyAlignment="1" applyProtection="1">
      <alignment horizontal="centerContinuous"/>
      <protection/>
    </xf>
    <xf numFmtId="0" fontId="0" fillId="33" borderId="13" xfId="0" applyFont="1" applyFill="1" applyBorder="1" applyAlignment="1" applyProtection="1">
      <alignment horizontal="centerContinuous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Continuous"/>
      <protection/>
    </xf>
    <xf numFmtId="0" fontId="1" fillId="33" borderId="30" xfId="0" applyFont="1" applyFill="1" applyBorder="1" applyAlignment="1" applyProtection="1">
      <alignment horizontal="centerContinuous"/>
      <protection/>
    </xf>
    <xf numFmtId="0" fontId="1" fillId="33" borderId="24" xfId="0" applyFont="1" applyFill="1" applyBorder="1" applyAlignment="1" applyProtection="1">
      <alignment/>
      <protection/>
    </xf>
    <xf numFmtId="0" fontId="11" fillId="34" borderId="0" xfId="0" applyFont="1" applyFill="1" applyAlignment="1" applyProtection="1">
      <alignment horizontal="centerContinuous"/>
      <protection/>
    </xf>
    <xf numFmtId="0" fontId="11" fillId="34" borderId="0" xfId="0" applyFont="1" applyFill="1" applyAlignment="1" applyProtection="1">
      <alignment/>
      <protection/>
    </xf>
    <xf numFmtId="2" fontId="7" fillId="34" borderId="0" xfId="0" applyNumberFormat="1" applyFont="1" applyFill="1" applyBorder="1" applyAlignment="1" applyProtection="1">
      <alignment horizontal="centerContinuous"/>
      <protection/>
    </xf>
    <xf numFmtId="0" fontId="0" fillId="34" borderId="0" xfId="0" applyFont="1" applyFill="1" applyAlignment="1" applyProtection="1">
      <alignment/>
      <protection/>
    </xf>
    <xf numFmtId="177" fontId="0" fillId="34" borderId="0" xfId="0" applyNumberFormat="1" applyFont="1" applyFill="1" applyBorder="1" applyAlignment="1" applyProtection="1">
      <alignment horizontal="center"/>
      <protection/>
    </xf>
    <xf numFmtId="0" fontId="0" fillId="36" borderId="10" xfId="0" applyFont="1" applyFill="1" applyBorder="1" applyAlignment="1" applyProtection="1">
      <alignment horizontal="right"/>
      <protection/>
    </xf>
    <xf numFmtId="2" fontId="9" fillId="36" borderId="11" xfId="0" applyNumberFormat="1" applyFont="1" applyFill="1" applyBorder="1" applyAlignment="1" applyProtection="1">
      <alignment horizontal="right"/>
      <protection/>
    </xf>
    <xf numFmtId="2" fontId="9" fillId="36" borderId="24" xfId="0" applyNumberFormat="1" applyFont="1" applyFill="1" applyBorder="1" applyAlignment="1" applyProtection="1">
      <alignment horizontal="right"/>
      <protection/>
    </xf>
    <xf numFmtId="2" fontId="7" fillId="36" borderId="13" xfId="0" applyNumberFormat="1" applyFont="1" applyFill="1" applyBorder="1" applyAlignment="1" applyProtection="1">
      <alignment horizontal="right"/>
      <protection/>
    </xf>
    <xf numFmtId="0" fontId="1" fillId="33" borderId="38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 horizontal="right"/>
      <protection/>
    </xf>
    <xf numFmtId="2" fontId="1" fillId="35" borderId="12" xfId="0" applyNumberFormat="1" applyFont="1" applyFill="1" applyBorder="1" applyAlignment="1" applyProtection="1">
      <alignment/>
      <protection/>
    </xf>
    <xf numFmtId="2" fontId="1" fillId="35" borderId="31" xfId="0" applyNumberFormat="1" applyFont="1" applyFill="1" applyBorder="1" applyAlignment="1" applyProtection="1">
      <alignment/>
      <protection/>
    </xf>
    <xf numFmtId="2" fontId="1" fillId="35" borderId="38" xfId="0" applyNumberFormat="1" applyFont="1" applyFill="1" applyBorder="1" applyAlignment="1" applyProtection="1">
      <alignment/>
      <protection/>
    </xf>
    <xf numFmtId="2" fontId="1" fillId="35" borderId="39" xfId="0" applyNumberFormat="1" applyFont="1" applyFill="1" applyBorder="1" applyAlignment="1" applyProtection="1">
      <alignment/>
      <protection/>
    </xf>
    <xf numFmtId="2" fontId="1" fillId="35" borderId="17" xfId="0" applyNumberFormat="1" applyFont="1" applyFill="1" applyBorder="1" applyAlignment="1" applyProtection="1">
      <alignment/>
      <protection/>
    </xf>
    <xf numFmtId="2" fontId="1" fillId="35" borderId="40" xfId="0" applyNumberFormat="1" applyFont="1" applyFill="1" applyBorder="1" applyAlignment="1" applyProtection="1">
      <alignment/>
      <protection/>
    </xf>
    <xf numFmtId="2" fontId="9" fillId="35" borderId="10" xfId="0" applyNumberFormat="1" applyFont="1" applyFill="1" applyBorder="1" applyAlignment="1" applyProtection="1">
      <alignment horizontal="right"/>
      <protection/>
    </xf>
    <xf numFmtId="2" fontId="9" fillId="35" borderId="15" xfId="0" applyNumberFormat="1" applyFont="1" applyFill="1" applyBorder="1" applyAlignment="1" applyProtection="1">
      <alignment horizontal="right"/>
      <protection/>
    </xf>
    <xf numFmtId="0" fontId="1" fillId="35" borderId="12" xfId="0" applyFont="1" applyFill="1" applyBorder="1" applyAlignment="1" applyProtection="1">
      <alignment/>
      <protection/>
    </xf>
    <xf numFmtId="0" fontId="1" fillId="35" borderId="26" xfId="0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2" fontId="11" fillId="35" borderId="31" xfId="0" applyNumberFormat="1" applyFont="1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/>
      <protection/>
    </xf>
    <xf numFmtId="2" fontId="11" fillId="35" borderId="40" xfId="0" applyNumberFormat="1" applyFont="1" applyFill="1" applyBorder="1" applyAlignment="1" applyProtection="1">
      <alignment/>
      <protection/>
    </xf>
    <xf numFmtId="0" fontId="15" fillId="35" borderId="26" xfId="0" applyFont="1" applyFill="1" applyBorder="1" applyAlignment="1" applyProtection="1">
      <alignment horizontal="center"/>
      <protection/>
    </xf>
    <xf numFmtId="0" fontId="1" fillId="35" borderId="38" xfId="0" applyFont="1" applyFill="1" applyBorder="1" applyAlignment="1" applyProtection="1">
      <alignment/>
      <protection/>
    </xf>
    <xf numFmtId="0" fontId="0" fillId="35" borderId="37" xfId="0" applyFont="1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11" fillId="35" borderId="17" xfId="0" applyFont="1" applyFill="1" applyBorder="1" applyAlignment="1" applyProtection="1">
      <alignment/>
      <protection/>
    </xf>
    <xf numFmtId="0" fontId="11" fillId="35" borderId="12" xfId="0" applyFont="1" applyFill="1" applyBorder="1" applyAlignment="1" applyProtection="1">
      <alignment/>
      <protection/>
    </xf>
    <xf numFmtId="0" fontId="0" fillId="35" borderId="37" xfId="0" applyFill="1" applyBorder="1" applyAlignment="1" applyProtection="1">
      <alignment/>
      <protection/>
    </xf>
    <xf numFmtId="0" fontId="11" fillId="35" borderId="38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6" fillId="36" borderId="30" xfId="0" applyFont="1" applyFill="1" applyBorder="1" applyAlignment="1" applyProtection="1">
      <alignment/>
      <protection locked="0"/>
    </xf>
    <xf numFmtId="1" fontId="6" fillId="36" borderId="12" xfId="0" applyNumberFormat="1" applyFont="1" applyFill="1" applyBorder="1" applyAlignment="1" applyProtection="1">
      <alignment horizontal="right"/>
      <protection locked="0"/>
    </xf>
    <xf numFmtId="1" fontId="6" fillId="36" borderId="28" xfId="0" applyNumberFormat="1" applyFont="1" applyFill="1" applyBorder="1" applyAlignment="1" applyProtection="1">
      <alignment horizontal="right"/>
      <protection locked="0"/>
    </xf>
    <xf numFmtId="1" fontId="6" fillId="36" borderId="42" xfId="0" applyNumberFormat="1" applyFont="1" applyFill="1" applyBorder="1" applyAlignment="1" applyProtection="1">
      <alignment horizontal="right"/>
      <protection locked="0"/>
    </xf>
    <xf numFmtId="1" fontId="6" fillId="36" borderId="11" xfId="0" applyNumberFormat="1" applyFont="1" applyFill="1" applyBorder="1" applyAlignment="1" applyProtection="1">
      <alignment horizontal="right"/>
      <protection locked="0"/>
    </xf>
    <xf numFmtId="1" fontId="6" fillId="36" borderId="29" xfId="0" applyNumberFormat="1" applyFont="1" applyFill="1" applyBorder="1" applyAlignment="1" applyProtection="1">
      <alignment horizontal="right"/>
      <protection locked="0"/>
    </xf>
    <xf numFmtId="1" fontId="6" fillId="36" borderId="22" xfId="0" applyNumberFormat="1" applyFont="1" applyFill="1" applyBorder="1" applyAlignment="1" applyProtection="1">
      <alignment horizontal="right"/>
      <protection locked="0"/>
    </xf>
    <xf numFmtId="2" fontId="6" fillId="36" borderId="29" xfId="0" applyNumberFormat="1" applyFont="1" applyFill="1" applyBorder="1" applyAlignment="1" applyProtection="1">
      <alignment horizontal="right"/>
      <protection locked="0"/>
    </xf>
    <xf numFmtId="0" fontId="6" fillId="35" borderId="41" xfId="0" applyFont="1" applyFill="1" applyBorder="1" applyAlignment="1" applyProtection="1">
      <alignment/>
      <protection locked="0"/>
    </xf>
    <xf numFmtId="1" fontId="6" fillId="36" borderId="33" xfId="0" applyNumberFormat="1" applyFont="1" applyFill="1" applyBorder="1" applyAlignment="1" applyProtection="1">
      <alignment horizontal="right"/>
      <protection locked="0"/>
    </xf>
    <xf numFmtId="178" fontId="6" fillId="36" borderId="21" xfId="0" applyNumberFormat="1" applyFont="1" applyFill="1" applyBorder="1" applyAlignment="1" applyProtection="1">
      <alignment horizontal="right"/>
      <protection locked="0"/>
    </xf>
    <xf numFmtId="178" fontId="6" fillId="36" borderId="29" xfId="0" applyNumberFormat="1" applyFont="1" applyFill="1" applyBorder="1" applyAlignment="1" applyProtection="1">
      <alignment horizontal="right"/>
      <protection locked="0"/>
    </xf>
    <xf numFmtId="0" fontId="1" fillId="36" borderId="24" xfId="0" applyFont="1" applyFill="1" applyBorder="1" applyAlignment="1" applyProtection="1">
      <alignment horizontal="centerContinuous"/>
      <protection/>
    </xf>
    <xf numFmtId="0" fontId="0" fillId="36" borderId="43" xfId="0" applyFont="1" applyFill="1" applyBorder="1" applyAlignment="1" applyProtection="1">
      <alignment horizontal="centerContinuous"/>
      <protection/>
    </xf>
    <xf numFmtId="0" fontId="1" fillId="36" borderId="14" xfId="0" applyFont="1" applyFill="1" applyBorder="1" applyAlignment="1" applyProtection="1">
      <alignment horizontal="centerContinuous"/>
      <protection/>
    </xf>
    <xf numFmtId="0" fontId="1" fillId="36" borderId="10" xfId="0" applyFont="1" applyFill="1" applyBorder="1" applyAlignment="1" applyProtection="1">
      <alignment horizontal="centerContinuous"/>
      <protection/>
    </xf>
    <xf numFmtId="0" fontId="0" fillId="36" borderId="13" xfId="0" applyFont="1" applyFill="1" applyBorder="1" applyAlignment="1" applyProtection="1">
      <alignment horizontal="centerContinuous"/>
      <protection/>
    </xf>
    <xf numFmtId="0" fontId="1" fillId="36" borderId="15" xfId="0" applyFont="1" applyFill="1" applyBorder="1" applyAlignment="1" applyProtection="1">
      <alignment horizontal="centerContinuous"/>
      <protection/>
    </xf>
    <xf numFmtId="0" fontId="0" fillId="33" borderId="10" xfId="0" applyFill="1" applyBorder="1" applyAlignment="1">
      <alignment/>
    </xf>
    <xf numFmtId="0" fontId="0" fillId="36" borderId="18" xfId="0" applyFill="1" applyBorder="1" applyAlignment="1">
      <alignment/>
    </xf>
    <xf numFmtId="0" fontId="1" fillId="33" borderId="44" xfId="0" applyFont="1" applyFill="1" applyBorder="1" applyAlignment="1" applyProtection="1">
      <alignment horizontal="centerContinuous"/>
      <protection/>
    </xf>
    <xf numFmtId="0" fontId="4" fillId="34" borderId="0" xfId="0" applyFont="1" applyFill="1" applyAlignment="1" applyProtection="1">
      <alignment/>
      <protection/>
    </xf>
    <xf numFmtId="2" fontId="13" fillId="34" borderId="0" xfId="0" applyNumberFormat="1" applyFont="1" applyFill="1" applyBorder="1" applyAlignment="1" applyProtection="1">
      <alignment horizontal="centerContinuous"/>
      <protection/>
    </xf>
    <xf numFmtId="2" fontId="4" fillId="34" borderId="0" xfId="0" applyNumberFormat="1" applyFont="1" applyFill="1" applyBorder="1" applyAlignment="1" applyProtection="1">
      <alignment horizontal="center"/>
      <protection/>
    </xf>
    <xf numFmtId="2" fontId="13" fillId="34" borderId="10" xfId="0" applyNumberFormat="1" applyFont="1" applyFill="1" applyBorder="1" applyAlignment="1" applyProtection="1">
      <alignment horizontal="centerContinuous"/>
      <protection/>
    </xf>
    <xf numFmtId="182" fontId="6" fillId="34" borderId="0" xfId="0" applyNumberFormat="1" applyFont="1" applyFill="1" applyBorder="1" applyAlignment="1" applyProtection="1">
      <alignment horizontal="centerContinuous"/>
      <protection/>
    </xf>
    <xf numFmtId="0" fontId="11" fillId="37" borderId="10" xfId="0" applyFont="1" applyFill="1" applyBorder="1" applyAlignment="1" applyProtection="1">
      <alignment horizontal="left"/>
      <protection/>
    </xf>
    <xf numFmtId="0" fontId="19" fillId="37" borderId="13" xfId="0" applyFont="1" applyFill="1" applyBorder="1" applyAlignment="1" applyProtection="1">
      <alignment horizontal="centerContinuous"/>
      <protection/>
    </xf>
    <xf numFmtId="0" fontId="11" fillId="33" borderId="11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40" xfId="0" applyFont="1" applyFill="1" applyBorder="1" applyAlignment="1" applyProtection="1">
      <alignment horizontal="right"/>
      <protection/>
    </xf>
    <xf numFmtId="0" fontId="4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centerContinuous"/>
      <protection/>
    </xf>
    <xf numFmtId="0" fontId="5" fillId="34" borderId="0" xfId="0" applyFont="1" applyFill="1" applyAlignment="1">
      <alignment/>
    </xf>
    <xf numFmtId="0" fontId="20" fillId="34" borderId="0" xfId="0" applyFont="1" applyFill="1" applyAlignment="1" applyProtection="1">
      <alignment horizontal="centerContinuous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Continuous"/>
      <protection/>
    </xf>
    <xf numFmtId="0" fontId="4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 horizontal="centerContinuous"/>
      <protection/>
    </xf>
    <xf numFmtId="0" fontId="4" fillId="34" borderId="0" xfId="0" applyFont="1" applyFill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 horizontal="centerContinuous"/>
      <protection/>
    </xf>
    <xf numFmtId="0" fontId="4" fillId="34" borderId="0" xfId="0" applyFont="1" applyFill="1" applyBorder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34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horizontal="right"/>
      <protection/>
    </xf>
    <xf numFmtId="0" fontId="4" fillId="34" borderId="0" xfId="0" applyFont="1" applyFill="1" applyAlignment="1">
      <alignment/>
    </xf>
    <xf numFmtId="0" fontId="4" fillId="34" borderId="14" xfId="0" applyFont="1" applyFill="1" applyBorder="1" applyAlignment="1" applyProtection="1">
      <alignment horizontal="right"/>
      <protection/>
    </xf>
    <xf numFmtId="0" fontId="5" fillId="34" borderId="17" xfId="0" applyFont="1" applyFill="1" applyBorder="1" applyAlignment="1">
      <alignment/>
    </xf>
    <xf numFmtId="0" fontId="4" fillId="34" borderId="27" xfId="0" applyFont="1" applyFill="1" applyBorder="1" applyAlignment="1" applyProtection="1">
      <alignment/>
      <protection/>
    </xf>
    <xf numFmtId="0" fontId="5" fillId="34" borderId="45" xfId="0" applyFont="1" applyFill="1" applyBorder="1" applyAlignment="1">
      <alignment/>
    </xf>
    <xf numFmtId="0" fontId="4" fillId="34" borderId="11" xfId="0" applyFont="1" applyFill="1" applyBorder="1" applyAlignment="1" applyProtection="1">
      <alignment/>
      <protection/>
    </xf>
    <xf numFmtId="0" fontId="5" fillId="34" borderId="18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4" fillId="34" borderId="24" xfId="0" applyFont="1" applyFill="1" applyBorder="1" applyAlignment="1" applyProtection="1">
      <alignment/>
      <protection/>
    </xf>
    <xf numFmtId="0" fontId="5" fillId="34" borderId="43" xfId="0" applyFont="1" applyFill="1" applyBorder="1" applyAlignment="1">
      <alignment/>
    </xf>
    <xf numFmtId="2" fontId="4" fillId="34" borderId="38" xfId="0" applyNumberFormat="1" applyFont="1" applyFill="1" applyBorder="1" applyAlignment="1" applyProtection="1">
      <alignment/>
      <protection/>
    </xf>
    <xf numFmtId="0" fontId="5" fillId="34" borderId="39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/>
      <protection/>
    </xf>
    <xf numFmtId="176" fontId="4" fillId="34" borderId="0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>
      <alignment/>
    </xf>
    <xf numFmtId="0" fontId="4" fillId="34" borderId="10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 horizontal="right"/>
      <protection/>
    </xf>
    <xf numFmtId="0" fontId="4" fillId="34" borderId="43" xfId="0" applyFont="1" applyFill="1" applyBorder="1" applyAlignment="1" applyProtection="1">
      <alignment/>
      <protection/>
    </xf>
    <xf numFmtId="0" fontId="4" fillId="34" borderId="43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right"/>
      <protection/>
    </xf>
    <xf numFmtId="0" fontId="4" fillId="34" borderId="0" xfId="0" applyFont="1" applyFill="1" applyAlignment="1" applyProtection="1">
      <alignment/>
      <protection locked="0"/>
    </xf>
    <xf numFmtId="0" fontId="13" fillId="34" borderId="15" xfId="0" applyFont="1" applyFill="1" applyBorder="1" applyAlignment="1" applyProtection="1">
      <alignment horizontal="centerContinuous"/>
      <protection/>
    </xf>
    <xf numFmtId="177" fontId="4" fillId="34" borderId="27" xfId="0" applyNumberFormat="1" applyFont="1" applyFill="1" applyBorder="1" applyAlignment="1" applyProtection="1">
      <alignment horizontal="centerContinuous"/>
      <protection/>
    </xf>
    <xf numFmtId="177" fontId="4" fillId="34" borderId="25" xfId="0" applyNumberFormat="1" applyFont="1" applyFill="1" applyBorder="1" applyAlignment="1" applyProtection="1">
      <alignment horizontal="centerContinuous"/>
      <protection/>
    </xf>
    <xf numFmtId="177" fontId="4" fillId="34" borderId="11" xfId="0" applyNumberFormat="1" applyFont="1" applyFill="1" applyBorder="1" applyAlignment="1" applyProtection="1">
      <alignment horizontal="centerContinuous"/>
      <protection/>
    </xf>
    <xf numFmtId="177" fontId="4" fillId="34" borderId="16" xfId="0" applyNumberFormat="1" applyFont="1" applyFill="1" applyBorder="1" applyAlignment="1" applyProtection="1">
      <alignment horizontal="centerContinuous"/>
      <protection/>
    </xf>
    <xf numFmtId="177" fontId="4" fillId="34" borderId="24" xfId="0" applyNumberFormat="1" applyFont="1" applyFill="1" applyBorder="1" applyAlignment="1" applyProtection="1">
      <alignment horizontal="centerContinuous"/>
      <protection/>
    </xf>
    <xf numFmtId="177" fontId="4" fillId="34" borderId="14" xfId="0" applyNumberFormat="1" applyFont="1" applyFill="1" applyBorder="1" applyAlignment="1" applyProtection="1">
      <alignment horizontal="centerContinuous"/>
      <protection/>
    </xf>
    <xf numFmtId="0" fontId="11" fillId="36" borderId="18" xfId="0" applyFont="1" applyFill="1" applyBorder="1" applyAlignment="1" applyProtection="1">
      <alignment horizontal="right"/>
      <protection/>
    </xf>
    <xf numFmtId="12" fontId="11" fillId="36" borderId="18" xfId="0" applyNumberFormat="1" applyFont="1" applyFill="1" applyBorder="1" applyAlignment="1" applyProtection="1">
      <alignment horizontal="right"/>
      <protection/>
    </xf>
    <xf numFmtId="176" fontId="11" fillId="36" borderId="46" xfId="0" applyNumberFormat="1" applyFont="1" applyFill="1" applyBorder="1" applyAlignment="1" applyProtection="1">
      <alignment horizontal="right"/>
      <protection/>
    </xf>
    <xf numFmtId="176" fontId="11" fillId="36" borderId="35" xfId="0" applyNumberFormat="1" applyFont="1" applyFill="1" applyBorder="1" applyAlignment="1" applyProtection="1">
      <alignment horizontal="right"/>
      <protection/>
    </xf>
    <xf numFmtId="177" fontId="9" fillId="35" borderId="12" xfId="0" applyNumberFormat="1" applyFont="1" applyFill="1" applyBorder="1" applyAlignment="1" applyProtection="1">
      <alignment/>
      <protection/>
    </xf>
    <xf numFmtId="2" fontId="9" fillId="35" borderId="31" xfId="0" applyNumberFormat="1" applyFont="1" applyFill="1" applyBorder="1" applyAlignment="1" applyProtection="1">
      <alignment/>
      <protection/>
    </xf>
    <xf numFmtId="177" fontId="9" fillId="35" borderId="17" xfId="0" applyNumberFormat="1" applyFont="1" applyFill="1" applyBorder="1" applyAlignment="1" applyProtection="1">
      <alignment/>
      <protection/>
    </xf>
    <xf numFmtId="2" fontId="9" fillId="35" borderId="40" xfId="0" applyNumberFormat="1" applyFont="1" applyFill="1" applyBorder="1" applyAlignment="1" applyProtection="1">
      <alignment/>
      <protection/>
    </xf>
    <xf numFmtId="177" fontId="9" fillId="35" borderId="38" xfId="0" applyNumberFormat="1" applyFont="1" applyFill="1" applyBorder="1" applyAlignment="1" applyProtection="1">
      <alignment/>
      <protection/>
    </xf>
    <xf numFmtId="2" fontId="9" fillId="35" borderId="39" xfId="0" applyNumberFormat="1" applyFont="1" applyFill="1" applyBorder="1" applyAlignment="1" applyProtection="1">
      <alignment/>
      <protection/>
    </xf>
    <xf numFmtId="0" fontId="9" fillId="35" borderId="12" xfId="0" applyFont="1" applyFill="1" applyBorder="1" applyAlignment="1" applyProtection="1">
      <alignment/>
      <protection/>
    </xf>
    <xf numFmtId="0" fontId="9" fillId="35" borderId="17" xfId="0" applyFont="1" applyFill="1" applyBorder="1" applyAlignment="1" applyProtection="1">
      <alignment/>
      <protection/>
    </xf>
    <xf numFmtId="0" fontId="9" fillId="35" borderId="38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 locked="0"/>
    </xf>
    <xf numFmtId="2" fontId="4" fillId="34" borderId="0" xfId="0" applyNumberFormat="1" applyFont="1" applyFill="1" applyBorder="1" applyAlignment="1" applyProtection="1">
      <alignment horizontal="left"/>
      <protection/>
    </xf>
    <xf numFmtId="2" fontId="4" fillId="34" borderId="0" xfId="0" applyNumberFormat="1" applyFont="1" applyFill="1" applyBorder="1" applyAlignment="1" applyProtection="1">
      <alignment horizontal="right"/>
      <protection/>
    </xf>
    <xf numFmtId="0" fontId="13" fillId="34" borderId="0" xfId="0" applyFont="1" applyFill="1" applyBorder="1" applyAlignment="1" applyProtection="1">
      <alignment horizontal="centerContinuous"/>
      <protection/>
    </xf>
    <xf numFmtId="0" fontId="4" fillId="34" borderId="13" xfId="0" applyFont="1" applyFill="1" applyBorder="1" applyAlignment="1" applyProtection="1">
      <alignment horizontal="right"/>
      <protection/>
    </xf>
    <xf numFmtId="2" fontId="17" fillId="34" borderId="10" xfId="0" applyNumberFormat="1" applyFont="1" applyFill="1" applyBorder="1" applyAlignment="1" applyProtection="1">
      <alignment horizontal="centerContinuous"/>
      <protection locked="0"/>
    </xf>
    <xf numFmtId="0" fontId="11" fillId="33" borderId="25" xfId="0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 locked="0"/>
    </xf>
    <xf numFmtId="2" fontId="11" fillId="34" borderId="0" xfId="0" applyNumberFormat="1" applyFont="1" applyFill="1" applyBorder="1" applyAlignment="1" applyProtection="1">
      <alignment/>
      <protection/>
    </xf>
    <xf numFmtId="2" fontId="6" fillId="34" borderId="0" xfId="0" applyNumberFormat="1" applyFont="1" applyFill="1" applyBorder="1" applyAlignment="1" applyProtection="1">
      <alignment/>
      <protection locked="0"/>
    </xf>
    <xf numFmtId="2" fontId="9" fillId="34" borderId="0" xfId="0" applyNumberFormat="1" applyFont="1" applyFill="1" applyBorder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  <xf numFmtId="2" fontId="13" fillId="34" borderId="0" xfId="0" applyNumberFormat="1" applyFont="1" applyFill="1" applyAlignment="1" applyProtection="1">
      <alignment/>
      <protection/>
    </xf>
    <xf numFmtId="0" fontId="4" fillId="34" borderId="0" xfId="0" applyFont="1" applyFill="1" applyBorder="1" applyAlignment="1">
      <alignment/>
    </xf>
    <xf numFmtId="181" fontId="6" fillId="36" borderId="16" xfId="0" applyNumberFormat="1" applyFont="1" applyFill="1" applyBorder="1" applyAlignment="1" applyProtection="1">
      <alignment horizontal="left"/>
      <protection/>
    </xf>
    <xf numFmtId="0" fontId="6" fillId="36" borderId="16" xfId="0" applyFont="1" applyFill="1" applyBorder="1" applyAlignment="1" applyProtection="1">
      <alignment horizontal="left"/>
      <protection/>
    </xf>
    <xf numFmtId="49" fontId="6" fillId="36" borderId="14" xfId="0" applyNumberFormat="1" applyFont="1" applyFill="1" applyBorder="1" applyAlignment="1" applyProtection="1">
      <alignment horizontal="left"/>
      <protection/>
    </xf>
    <xf numFmtId="2" fontId="6" fillId="36" borderId="25" xfId="0" applyNumberFormat="1" applyFont="1" applyFill="1" applyBorder="1" applyAlignment="1" applyProtection="1">
      <alignment horizontal="left"/>
      <protection/>
    </xf>
    <xf numFmtId="2" fontId="6" fillId="36" borderId="16" xfId="0" applyNumberFormat="1" applyFont="1" applyFill="1" applyBorder="1" applyAlignment="1" applyProtection="1">
      <alignment/>
      <protection/>
    </xf>
    <xf numFmtId="2" fontId="6" fillId="36" borderId="16" xfId="0" applyNumberFormat="1" applyFont="1" applyFill="1" applyBorder="1" applyAlignment="1" applyProtection="1">
      <alignment horizontal="left"/>
      <protection/>
    </xf>
    <xf numFmtId="2" fontId="6" fillId="36" borderId="14" xfId="0" applyNumberFormat="1" applyFont="1" applyFill="1" applyBorder="1" applyAlignment="1" applyProtection="1">
      <alignment horizontal="left"/>
      <protection/>
    </xf>
    <xf numFmtId="0" fontId="11" fillId="33" borderId="27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6" fillId="36" borderId="11" xfId="0" applyFont="1" applyFill="1" applyBorder="1" applyAlignment="1" applyProtection="1">
      <alignment horizontal="left"/>
      <protection locked="0"/>
    </xf>
    <xf numFmtId="2" fontId="6" fillId="36" borderId="11" xfId="0" applyNumberFormat="1" applyFont="1" applyFill="1" applyBorder="1" applyAlignment="1" applyProtection="1">
      <alignment horizontal="left"/>
      <protection locked="0"/>
    </xf>
    <xf numFmtId="2" fontId="6" fillId="36" borderId="11" xfId="0" applyNumberFormat="1" applyFont="1" applyFill="1" applyBorder="1" applyAlignment="1" applyProtection="1">
      <alignment/>
      <protection locked="0"/>
    </xf>
    <xf numFmtId="0" fontId="6" fillId="36" borderId="27" xfId="0" applyFont="1" applyFill="1" applyBorder="1" applyAlignment="1" applyProtection="1">
      <alignment/>
      <protection locked="0"/>
    </xf>
    <xf numFmtId="49" fontId="6" fillId="36" borderId="24" xfId="0" applyNumberFormat="1" applyFont="1" applyFill="1" applyBorder="1" applyAlignment="1" applyProtection="1">
      <alignment horizontal="left"/>
      <protection locked="0"/>
    </xf>
    <xf numFmtId="2" fontId="6" fillId="36" borderId="27" xfId="0" applyNumberFormat="1" applyFont="1" applyFill="1" applyBorder="1" applyAlignment="1" applyProtection="1">
      <alignment horizontal="left"/>
      <protection locked="0"/>
    </xf>
    <xf numFmtId="2" fontId="6" fillId="36" borderId="24" xfId="0" applyNumberFormat="1" applyFont="1" applyFill="1" applyBorder="1" applyAlignment="1" applyProtection="1">
      <alignment horizontal="left"/>
      <protection locked="0"/>
    </xf>
    <xf numFmtId="0" fontId="16" fillId="37" borderId="13" xfId="0" applyFont="1" applyFill="1" applyBorder="1" applyAlignment="1" applyProtection="1">
      <alignment horizontal="right"/>
      <protection locked="0"/>
    </xf>
    <xf numFmtId="0" fontId="6" fillId="36" borderId="25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2" fontId="6" fillId="36" borderId="25" xfId="0" applyNumberFormat="1" applyFont="1" applyFill="1" applyBorder="1" applyAlignment="1" applyProtection="1">
      <alignment horizontal="right"/>
      <protection locked="0"/>
    </xf>
    <xf numFmtId="2" fontId="16" fillId="37" borderId="15" xfId="0" applyNumberFormat="1" applyFont="1" applyFill="1" applyBorder="1" applyAlignment="1" applyProtection="1">
      <alignment horizontal="right"/>
      <protection/>
    </xf>
    <xf numFmtId="181" fontId="6" fillId="36" borderId="11" xfId="0" applyNumberFormat="1" applyFont="1" applyFill="1" applyBorder="1" applyAlignment="1" applyProtection="1">
      <alignment horizontal="left"/>
      <protection locked="0"/>
    </xf>
    <xf numFmtId="2" fontId="6" fillId="35" borderId="28" xfId="0" applyNumberFormat="1" applyFont="1" applyFill="1" applyBorder="1" applyAlignment="1" applyProtection="1">
      <alignment/>
      <protection locked="0"/>
    </xf>
    <xf numFmtId="2" fontId="6" fillId="35" borderId="41" xfId="0" applyNumberFormat="1" applyFont="1" applyFill="1" applyBorder="1" applyAlignment="1" applyProtection="1">
      <alignment/>
      <protection locked="0"/>
    </xf>
    <xf numFmtId="0" fontId="1" fillId="35" borderId="12" xfId="0" applyFont="1" applyFill="1" applyBorder="1" applyAlignment="1" applyProtection="1">
      <alignment/>
      <protection locked="0"/>
    </xf>
    <xf numFmtId="0" fontId="1" fillId="35" borderId="38" xfId="0" applyFont="1" applyFill="1" applyBorder="1" applyAlignment="1" applyProtection="1">
      <alignment/>
      <protection locked="0"/>
    </xf>
    <xf numFmtId="0" fontId="77" fillId="35" borderId="28" xfId="0" applyFont="1" applyFill="1" applyBorder="1" applyAlignment="1" applyProtection="1">
      <alignment/>
      <protection/>
    </xf>
    <xf numFmtId="2" fontId="1" fillId="35" borderId="34" xfId="0" applyNumberFormat="1" applyFont="1" applyFill="1" applyBorder="1" applyAlignment="1" applyProtection="1">
      <alignment/>
      <protection/>
    </xf>
    <xf numFmtId="2" fontId="1" fillId="35" borderId="31" xfId="0" applyNumberFormat="1" applyFont="1" applyFill="1" applyBorder="1" applyAlignment="1" applyProtection="1">
      <alignment/>
      <protection locked="0"/>
    </xf>
    <xf numFmtId="2" fontId="1" fillId="35" borderId="39" xfId="0" applyNumberFormat="1" applyFont="1" applyFill="1" applyBorder="1" applyAlignment="1" applyProtection="1">
      <alignment/>
      <protection locked="0"/>
    </xf>
    <xf numFmtId="2" fontId="77" fillId="35" borderId="28" xfId="0" applyNumberFormat="1" applyFont="1" applyFill="1" applyBorder="1" applyAlignment="1" applyProtection="1">
      <alignment/>
      <protection/>
    </xf>
    <xf numFmtId="2" fontId="16" fillId="37" borderId="30" xfId="0" applyNumberFormat="1" applyFont="1" applyFill="1" applyBorder="1" applyAlignment="1" applyProtection="1">
      <alignment horizontal="right"/>
      <protection/>
    </xf>
    <xf numFmtId="1" fontId="1" fillId="37" borderId="30" xfId="0" applyNumberFormat="1" applyFont="1" applyFill="1" applyBorder="1" applyAlignment="1" applyProtection="1">
      <alignment horizontal="center"/>
      <protection/>
    </xf>
    <xf numFmtId="0" fontId="11" fillId="34" borderId="0" xfId="0" applyFont="1" applyFill="1" applyAlignment="1" applyProtection="1">
      <alignment horizontal="center"/>
      <protection/>
    </xf>
    <xf numFmtId="0" fontId="5" fillId="34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37" borderId="13" xfId="0" applyFont="1" applyFill="1" applyBorder="1" applyAlignment="1" applyProtection="1">
      <alignment horizontal="center"/>
      <protection/>
    </xf>
    <xf numFmtId="0" fontId="1" fillId="36" borderId="21" xfId="0" applyFont="1" applyFill="1" applyBorder="1" applyAlignment="1" applyProtection="1">
      <alignment horizontal="center"/>
      <protection/>
    </xf>
    <xf numFmtId="0" fontId="1" fillId="33" borderId="47" xfId="0" applyFont="1" applyFill="1" applyBorder="1" applyAlignment="1" applyProtection="1">
      <alignment horizontal="center"/>
      <protection/>
    </xf>
    <xf numFmtId="0" fontId="1" fillId="36" borderId="48" xfId="0" applyFont="1" applyFill="1" applyBorder="1" applyAlignment="1" applyProtection="1">
      <alignment horizontal="center"/>
      <protection/>
    </xf>
    <xf numFmtId="0" fontId="1" fillId="33" borderId="49" xfId="0" applyFont="1" applyFill="1" applyBorder="1" applyAlignment="1" applyProtection="1">
      <alignment horizontal="center"/>
      <protection/>
    </xf>
    <xf numFmtId="0" fontId="1" fillId="36" borderId="23" xfId="0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/>
      <protection/>
    </xf>
    <xf numFmtId="0" fontId="1" fillId="36" borderId="50" xfId="0" applyFont="1" applyFill="1" applyBorder="1" applyAlignment="1" applyProtection="1">
      <alignment horizontal="center"/>
      <protection/>
    </xf>
    <xf numFmtId="0" fontId="1" fillId="33" borderId="51" xfId="0" applyFont="1" applyFill="1" applyBorder="1" applyAlignment="1" applyProtection="1">
      <alignment horizontal="center"/>
      <protection/>
    </xf>
    <xf numFmtId="1" fontId="6" fillId="36" borderId="52" xfId="0" applyNumberFormat="1" applyFont="1" applyFill="1" applyBorder="1" applyAlignment="1" applyProtection="1">
      <alignment horizontal="right"/>
      <protection locked="0"/>
    </xf>
    <xf numFmtId="0" fontId="1" fillId="37" borderId="15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 horizontal="center"/>
      <protection/>
    </xf>
    <xf numFmtId="0" fontId="1" fillId="33" borderId="53" xfId="0" applyFont="1" applyFill="1" applyBorder="1" applyAlignment="1" applyProtection="1">
      <alignment horizontal="center"/>
      <protection/>
    </xf>
    <xf numFmtId="2" fontId="78" fillId="36" borderId="29" xfId="0" applyNumberFormat="1" applyFont="1" applyFill="1" applyBorder="1" applyAlignment="1" applyProtection="1">
      <alignment horizontal="right"/>
      <protection locked="0"/>
    </xf>
    <xf numFmtId="2" fontId="78" fillId="36" borderId="29" xfId="0" applyNumberFormat="1" applyFont="1" applyFill="1" applyBorder="1" applyAlignment="1" applyProtection="1">
      <alignment horizontal="right"/>
      <protection/>
    </xf>
    <xf numFmtId="2" fontId="78" fillId="36" borderId="32" xfId="0" applyNumberFormat="1" applyFont="1" applyFill="1" applyBorder="1" applyAlignment="1" applyProtection="1">
      <alignment horizontal="right"/>
      <protection/>
    </xf>
    <xf numFmtId="2" fontId="78" fillId="36" borderId="32" xfId="0" applyNumberFormat="1" applyFont="1" applyFill="1" applyBorder="1" applyAlignment="1" applyProtection="1">
      <alignment horizontal="right"/>
      <protection locked="0"/>
    </xf>
    <xf numFmtId="2" fontId="9" fillId="36" borderId="54" xfId="0" applyNumberFormat="1" applyFont="1" applyFill="1" applyBorder="1" applyAlignment="1" applyProtection="1">
      <alignment horizontal="right"/>
      <protection/>
    </xf>
    <xf numFmtId="2" fontId="79" fillId="34" borderId="10" xfId="0" applyNumberFormat="1" applyFont="1" applyFill="1" applyBorder="1" applyAlignment="1" applyProtection="1">
      <alignment horizontal="centerContinuous"/>
      <protection locked="0"/>
    </xf>
    <xf numFmtId="2" fontId="79" fillId="34" borderId="15" xfId="0" applyNumberFormat="1" applyFont="1" applyFill="1" applyBorder="1" applyAlignment="1" applyProtection="1">
      <alignment horizontal="centerContinuous"/>
      <protection/>
    </xf>
    <xf numFmtId="2" fontId="79" fillId="34" borderId="10" xfId="0" applyNumberFormat="1" applyFont="1" applyFill="1" applyBorder="1" applyAlignment="1" applyProtection="1">
      <alignment horizontal="centerContinuous"/>
      <protection/>
    </xf>
    <xf numFmtId="2" fontId="79" fillId="34" borderId="38" xfId="0" applyNumberFormat="1" applyFont="1" applyFill="1" applyBorder="1" applyAlignment="1" applyProtection="1">
      <alignment horizontal="centerContinuous"/>
      <protection/>
    </xf>
    <xf numFmtId="2" fontId="79" fillId="34" borderId="14" xfId="0" applyNumberFormat="1" applyFont="1" applyFill="1" applyBorder="1" applyAlignment="1" applyProtection="1">
      <alignment horizontal="centerContinuous"/>
      <protection/>
    </xf>
    <xf numFmtId="2" fontId="79" fillId="34" borderId="16" xfId="0" applyNumberFormat="1" applyFont="1" applyFill="1" applyBorder="1" applyAlignment="1" applyProtection="1">
      <alignment horizontal="centerContinuous"/>
      <protection/>
    </xf>
    <xf numFmtId="2" fontId="79" fillId="34" borderId="16" xfId="0" applyNumberFormat="1" applyFont="1" applyFill="1" applyBorder="1" applyAlignment="1" applyProtection="1">
      <alignment horizontal="right"/>
      <protection/>
    </xf>
    <xf numFmtId="2" fontId="79" fillId="34" borderId="40" xfId="0" applyNumberFormat="1" applyFont="1" applyFill="1" applyBorder="1" applyAlignment="1" applyProtection="1">
      <alignment horizontal="right"/>
      <protection/>
    </xf>
    <xf numFmtId="2" fontId="79" fillId="34" borderId="25" xfId="0" applyNumberFormat="1" applyFont="1" applyFill="1" applyBorder="1" applyAlignment="1" applyProtection="1">
      <alignment horizontal="right"/>
      <protection/>
    </xf>
    <xf numFmtId="2" fontId="79" fillId="34" borderId="14" xfId="0" applyNumberFormat="1" applyFont="1" applyFill="1" applyBorder="1" applyAlignment="1" applyProtection="1">
      <alignment horizontal="right"/>
      <protection/>
    </xf>
    <xf numFmtId="2" fontId="79" fillId="34" borderId="27" xfId="0" applyNumberFormat="1" applyFont="1" applyFill="1" applyBorder="1" applyAlignment="1" applyProtection="1">
      <alignment horizontal="centerContinuous"/>
      <protection/>
    </xf>
    <xf numFmtId="2" fontId="79" fillId="34" borderId="25" xfId="0" applyNumberFormat="1" applyFont="1" applyFill="1" applyBorder="1" applyAlignment="1" applyProtection="1">
      <alignment horizontal="centerContinuous"/>
      <protection/>
    </xf>
    <xf numFmtId="2" fontId="79" fillId="34" borderId="11" xfId="0" applyNumberFormat="1" applyFont="1" applyFill="1" applyBorder="1" applyAlignment="1" applyProtection="1">
      <alignment horizontal="centerContinuous"/>
      <protection/>
    </xf>
    <xf numFmtId="2" fontId="79" fillId="34" borderId="16" xfId="0" applyNumberFormat="1" applyFont="1" applyFill="1" applyBorder="1" applyAlignment="1" applyProtection="1">
      <alignment horizontal="centerContinuous" wrapText="1"/>
      <protection/>
    </xf>
    <xf numFmtId="2" fontId="79" fillId="34" borderId="24" xfId="0" applyNumberFormat="1" applyFont="1" applyFill="1" applyBorder="1" applyAlignment="1" applyProtection="1">
      <alignment horizontal="centerContinuous"/>
      <protection/>
    </xf>
    <xf numFmtId="2" fontId="79" fillId="34" borderId="0" xfId="0" applyNumberFormat="1" applyFont="1" applyFill="1" applyBorder="1" applyAlignment="1" applyProtection="1">
      <alignment horizontal="left"/>
      <protection/>
    </xf>
    <xf numFmtId="49" fontId="79" fillId="34" borderId="0" xfId="0" applyNumberFormat="1" applyFont="1" applyFill="1" applyBorder="1" applyAlignment="1" applyProtection="1">
      <alignment horizontal="left"/>
      <protection/>
    </xf>
    <xf numFmtId="2" fontId="79" fillId="34" borderId="0" xfId="0" applyNumberFormat="1" applyFont="1" applyFill="1" applyBorder="1" applyAlignment="1" applyProtection="1">
      <alignment horizontal="centerContinuous"/>
      <protection/>
    </xf>
    <xf numFmtId="0" fontId="80" fillId="34" borderId="0" xfId="0" applyFont="1" applyFill="1" applyBorder="1" applyAlignment="1">
      <alignment horizontal="left"/>
    </xf>
    <xf numFmtId="0" fontId="1" fillId="36" borderId="19" xfId="0" applyFont="1" applyFill="1" applyBorder="1" applyAlignment="1" applyProtection="1">
      <alignment horizontal="center"/>
      <protection/>
    </xf>
    <xf numFmtId="0" fontId="1" fillId="33" borderId="55" xfId="0" applyFont="1" applyFill="1" applyBorder="1" applyAlignment="1" applyProtection="1">
      <alignment horizontal="center"/>
      <protection/>
    </xf>
    <xf numFmtId="0" fontId="1" fillId="36" borderId="56" xfId="0" applyFont="1" applyFill="1" applyBorder="1" applyAlignment="1" applyProtection="1">
      <alignment horizontal="center"/>
      <protection/>
    </xf>
    <xf numFmtId="0" fontId="1" fillId="33" borderId="57" xfId="0" applyFont="1" applyFill="1" applyBorder="1" applyAlignment="1" applyProtection="1">
      <alignment horizontal="center"/>
      <protection/>
    </xf>
    <xf numFmtId="0" fontId="1" fillId="33" borderId="36" xfId="0" applyFont="1" applyFill="1" applyBorder="1" applyAlignment="1" applyProtection="1">
      <alignment horizontal="center"/>
      <protection/>
    </xf>
    <xf numFmtId="0" fontId="0" fillId="38" borderId="0" xfId="0" applyFill="1" applyAlignment="1">
      <alignment/>
    </xf>
    <xf numFmtId="0" fontId="21" fillId="38" borderId="0" xfId="0" applyFont="1" applyFill="1" applyAlignment="1">
      <alignment horizontal="center"/>
    </xf>
    <xf numFmtId="0" fontId="0" fillId="0" borderId="0" xfId="0" applyFill="1" applyAlignment="1">
      <alignment/>
    </xf>
    <xf numFmtId="0" fontId="21" fillId="38" borderId="0" xfId="0" applyFont="1" applyFill="1" applyAlignment="1">
      <alignment horizontal="right"/>
    </xf>
    <xf numFmtId="2" fontId="21" fillId="38" borderId="0" xfId="0" applyNumberFormat="1" applyFont="1" applyFill="1" applyAlignment="1">
      <alignment horizontal="left"/>
    </xf>
    <xf numFmtId="2" fontId="21" fillId="38" borderId="0" xfId="0" applyNumberFormat="1" applyFont="1" applyFill="1" applyAlignment="1" quotePrefix="1">
      <alignment horizontal="left"/>
    </xf>
    <xf numFmtId="0" fontId="11" fillId="0" borderId="0" xfId="0" applyFont="1" applyFill="1" applyAlignment="1">
      <alignment horizontal="center"/>
    </xf>
    <xf numFmtId="0" fontId="22" fillId="38" borderId="0" xfId="0" applyFont="1" applyFill="1" applyAlignment="1">
      <alignment/>
    </xf>
    <xf numFmtId="0" fontId="10" fillId="39" borderId="0" xfId="0" applyFont="1" applyFill="1" applyAlignment="1">
      <alignment horizontal="center"/>
    </xf>
    <xf numFmtId="0" fontId="11" fillId="38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3" fillId="38" borderId="58" xfId="0" applyFont="1" applyFill="1" applyBorder="1" applyAlignment="1">
      <alignment horizontal="center" vertical="center" wrapText="1"/>
    </xf>
    <xf numFmtId="0" fontId="23" fillId="38" borderId="58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9" fillId="0" borderId="0" xfId="0" applyFont="1" applyAlignment="1">
      <alignment/>
    </xf>
    <xf numFmtId="0" fontId="27" fillId="40" borderId="59" xfId="0" applyFont="1" applyFill="1" applyBorder="1" applyAlignment="1">
      <alignment horizontal="center" vertical="center"/>
    </xf>
    <xf numFmtId="0" fontId="28" fillId="40" borderId="59" xfId="0" applyFont="1" applyFill="1" applyBorder="1" applyAlignment="1">
      <alignment vertical="center" wrapText="1"/>
    </xf>
    <xf numFmtId="0" fontId="27" fillId="40" borderId="22" xfId="0" applyFont="1" applyFill="1" applyBorder="1" applyAlignment="1">
      <alignment horizontal="center" vertical="center"/>
    </xf>
    <xf numFmtId="0" fontId="28" fillId="40" borderId="22" xfId="0" applyFont="1" applyFill="1" applyBorder="1" applyAlignment="1">
      <alignment vertical="center" wrapText="1"/>
    </xf>
    <xf numFmtId="0" fontId="28" fillId="40" borderId="22" xfId="0" applyFont="1" applyFill="1" applyBorder="1" applyAlignment="1">
      <alignment vertical="center"/>
    </xf>
    <xf numFmtId="0" fontId="28" fillId="40" borderId="22" xfId="0" applyFont="1" applyFill="1" applyBorder="1" applyAlignment="1">
      <alignment horizontal="left" vertical="center" wrapText="1"/>
    </xf>
    <xf numFmtId="0" fontId="27" fillId="40" borderId="60" xfId="0" applyFont="1" applyFill="1" applyBorder="1" applyAlignment="1">
      <alignment horizontal="center" vertical="center"/>
    </xf>
    <xf numFmtId="0" fontId="21" fillId="41" borderId="22" xfId="0" applyFont="1" applyFill="1" applyBorder="1" applyAlignment="1">
      <alignment horizontal="center" vertical="center"/>
    </xf>
    <xf numFmtId="0" fontId="29" fillId="41" borderId="22" xfId="0" applyFont="1" applyFill="1" applyBorder="1" applyAlignment="1">
      <alignment vertical="center" wrapText="1"/>
    </xf>
    <xf numFmtId="0" fontId="29" fillId="41" borderId="22" xfId="0" applyFont="1" applyFill="1" applyBorder="1" applyAlignment="1">
      <alignment vertical="center"/>
    </xf>
    <xf numFmtId="0" fontId="29" fillId="41" borderId="22" xfId="0" applyFont="1" applyFill="1" applyBorder="1" applyAlignment="1">
      <alignment horizontal="left" vertical="center" wrapText="1"/>
    </xf>
    <xf numFmtId="0" fontId="21" fillId="41" borderId="60" xfId="0" applyFont="1" applyFill="1" applyBorder="1" applyAlignment="1">
      <alignment horizontal="center" vertical="center"/>
    </xf>
    <xf numFmtId="0" fontId="32" fillId="42" borderId="22" xfId="0" applyFont="1" applyFill="1" applyBorder="1" applyAlignment="1">
      <alignment horizontal="center" vertical="center"/>
    </xf>
    <xf numFmtId="0" fontId="33" fillId="42" borderId="22" xfId="0" applyFont="1" applyFill="1" applyBorder="1" applyAlignment="1">
      <alignment vertical="center" wrapText="1"/>
    </xf>
    <xf numFmtId="0" fontId="33" fillId="42" borderId="61" xfId="0" applyFont="1" applyFill="1" applyBorder="1" applyAlignment="1">
      <alignment vertical="center" wrapText="1"/>
    </xf>
    <xf numFmtId="0" fontId="34" fillId="38" borderId="0" xfId="0" applyFont="1" applyFill="1" applyAlignment="1">
      <alignment vertical="center"/>
    </xf>
    <xf numFmtId="0" fontId="21" fillId="43" borderId="22" xfId="0" applyFont="1" applyFill="1" applyBorder="1" applyAlignment="1">
      <alignment horizontal="center" vertical="center"/>
    </xf>
    <xf numFmtId="0" fontId="29" fillId="43" borderId="61" xfId="0" applyFont="1" applyFill="1" applyBorder="1" applyAlignment="1">
      <alignment vertical="center" wrapText="1"/>
    </xf>
    <xf numFmtId="0" fontId="21" fillId="43" borderId="59" xfId="0" applyFont="1" applyFill="1" applyBorder="1" applyAlignment="1">
      <alignment horizontal="center" vertical="center"/>
    </xf>
    <xf numFmtId="0" fontId="21" fillId="43" borderId="62" xfId="0" applyFont="1" applyFill="1" applyBorder="1" applyAlignment="1">
      <alignment horizontal="center" vertical="center"/>
    </xf>
    <xf numFmtId="0" fontId="29" fillId="43" borderId="63" xfId="0" applyFont="1" applyFill="1" applyBorder="1" applyAlignment="1">
      <alignment vertical="center"/>
    </xf>
    <xf numFmtId="0" fontId="31" fillId="44" borderId="64" xfId="0" applyFont="1" applyFill="1" applyBorder="1" applyAlignment="1">
      <alignment/>
    </xf>
    <xf numFmtId="0" fontId="31" fillId="44" borderId="65" xfId="0" applyFont="1" applyFill="1" applyBorder="1" applyAlignment="1">
      <alignment/>
    </xf>
    <xf numFmtId="0" fontId="35" fillId="43" borderId="66" xfId="0" applyFont="1" applyFill="1" applyBorder="1" applyAlignment="1">
      <alignment horizontal="center"/>
    </xf>
    <xf numFmtId="0" fontId="36" fillId="43" borderId="67" xfId="0" applyFont="1" applyFill="1" applyBorder="1" applyAlignment="1">
      <alignment/>
    </xf>
    <xf numFmtId="0" fontId="25" fillId="38" borderId="0" xfId="0" applyFont="1" applyFill="1" applyAlignment="1">
      <alignment/>
    </xf>
    <xf numFmtId="0" fontId="37" fillId="38" borderId="0" xfId="0" applyFont="1" applyFill="1" applyAlignment="1">
      <alignment horizontal="center"/>
    </xf>
    <xf numFmtId="0" fontId="38" fillId="38" borderId="0" xfId="0" applyFont="1" applyFill="1" applyAlignment="1">
      <alignment/>
    </xf>
    <xf numFmtId="0" fontId="1" fillId="38" borderId="0" xfId="0" applyFont="1" applyFill="1" applyAlignment="1">
      <alignment horizontal="center"/>
    </xf>
    <xf numFmtId="2" fontId="81" fillId="36" borderId="10" xfId="0" applyNumberFormat="1" applyFont="1" applyFill="1" applyBorder="1" applyAlignment="1" applyProtection="1">
      <alignment/>
      <protection locked="0"/>
    </xf>
    <xf numFmtId="2" fontId="81" fillId="36" borderId="13" xfId="0" applyNumberFormat="1" applyFont="1" applyFill="1" applyBorder="1" applyAlignment="1" applyProtection="1">
      <alignment/>
      <protection locked="0"/>
    </xf>
    <xf numFmtId="2" fontId="81" fillId="36" borderId="15" xfId="0" applyNumberFormat="1" applyFont="1" applyFill="1" applyBorder="1" applyAlignment="1" applyProtection="1">
      <alignment/>
      <protection locked="0"/>
    </xf>
    <xf numFmtId="184" fontId="81" fillId="36" borderId="10" xfId="0" applyNumberFormat="1" applyFont="1" applyFill="1" applyBorder="1" applyAlignment="1" applyProtection="1">
      <alignment/>
      <protection locked="0"/>
    </xf>
    <xf numFmtId="184" fontId="81" fillId="36" borderId="13" xfId="0" applyNumberFormat="1" applyFont="1" applyFill="1" applyBorder="1" applyAlignment="1" applyProtection="1">
      <alignment/>
      <protection locked="0"/>
    </xf>
    <xf numFmtId="184" fontId="81" fillId="36" borderId="15" xfId="0" applyNumberFormat="1" applyFont="1" applyFill="1" applyBorder="1" applyAlignment="1" applyProtection="1">
      <alignment/>
      <protection locked="0"/>
    </xf>
    <xf numFmtId="2" fontId="6" fillId="36" borderId="52" xfId="0" applyNumberFormat="1" applyFont="1" applyFill="1" applyBorder="1" applyAlignment="1" applyProtection="1">
      <alignment horizontal="right"/>
      <protection locked="0"/>
    </xf>
    <xf numFmtId="2" fontId="6" fillId="36" borderId="29" xfId="0" applyNumberFormat="1" applyFont="1" applyFill="1" applyBorder="1" applyAlignment="1" applyProtection="1">
      <alignment horizontal="right"/>
      <protection locked="0"/>
    </xf>
    <xf numFmtId="2" fontId="78" fillId="36" borderId="10" xfId="0" applyNumberFormat="1" applyFont="1" applyFill="1" applyBorder="1" applyAlignment="1" applyProtection="1">
      <alignment/>
      <protection/>
    </xf>
    <xf numFmtId="2" fontId="78" fillId="36" borderId="13" xfId="0" applyNumberFormat="1" applyFont="1" applyFill="1" applyBorder="1" applyAlignment="1" applyProtection="1">
      <alignment/>
      <protection/>
    </xf>
    <xf numFmtId="2" fontId="78" fillId="36" borderId="15" xfId="0" applyNumberFormat="1" applyFont="1" applyFill="1" applyBorder="1" applyAlignment="1" applyProtection="1">
      <alignment/>
      <protection/>
    </xf>
    <xf numFmtId="2" fontId="79" fillId="34" borderId="10" xfId="0" applyNumberFormat="1" applyFont="1" applyFill="1" applyBorder="1" applyAlignment="1" applyProtection="1" quotePrefix="1">
      <alignment horizontal="centerContinuous"/>
      <protection locked="0"/>
    </xf>
    <xf numFmtId="2" fontId="39" fillId="34" borderId="15" xfId="0" applyNumberFormat="1" applyFont="1" applyFill="1" applyBorder="1" applyAlignment="1" applyProtection="1">
      <alignment horizontal="centerContinuous"/>
      <protection/>
    </xf>
    <xf numFmtId="0" fontId="1" fillId="33" borderId="68" xfId="0" applyFont="1" applyFill="1" applyBorder="1" applyAlignment="1" applyProtection="1">
      <alignment horizontal="left" indent="1"/>
      <protection/>
    </xf>
    <xf numFmtId="0" fontId="1" fillId="33" borderId="69" xfId="0" applyFont="1" applyFill="1" applyBorder="1" applyAlignment="1" applyProtection="1">
      <alignment horizontal="left" indent="1"/>
      <protection/>
    </xf>
    <xf numFmtId="0" fontId="1" fillId="33" borderId="35" xfId="0" applyFont="1" applyFill="1" applyBorder="1" applyAlignment="1" applyProtection="1">
      <alignment horizontal="left" indent="1"/>
      <protection/>
    </xf>
    <xf numFmtId="0" fontId="1" fillId="33" borderId="70" xfId="0" applyFont="1" applyFill="1" applyBorder="1" applyAlignment="1" applyProtection="1">
      <alignment horizontal="left" indent="1"/>
      <protection/>
    </xf>
    <xf numFmtId="0" fontId="1" fillId="33" borderId="35" xfId="0" applyFont="1" applyFill="1" applyBorder="1" applyAlignment="1" applyProtection="1">
      <alignment horizontal="left" indent="1"/>
      <protection/>
    </xf>
    <xf numFmtId="0" fontId="1" fillId="33" borderId="70" xfId="0" applyFont="1" applyFill="1" applyBorder="1" applyAlignment="1" applyProtection="1">
      <alignment horizontal="left" indent="1"/>
      <protection/>
    </xf>
    <xf numFmtId="2" fontId="78" fillId="36" borderId="10" xfId="0" applyNumberFormat="1" applyFont="1" applyFill="1" applyBorder="1" applyAlignment="1" applyProtection="1">
      <alignment horizontal="right"/>
      <protection/>
    </xf>
    <xf numFmtId="2" fontId="78" fillId="36" borderId="15" xfId="0" applyNumberFormat="1" applyFont="1" applyFill="1" applyBorder="1" applyAlignment="1" applyProtection="1">
      <alignment horizontal="right"/>
      <protection/>
    </xf>
    <xf numFmtId="0" fontId="1" fillId="33" borderId="68" xfId="0" applyFont="1" applyFill="1" applyBorder="1" applyAlignment="1" applyProtection="1">
      <alignment horizontal="left" indent="1"/>
      <protection/>
    </xf>
    <xf numFmtId="0" fontId="12" fillId="33" borderId="53" xfId="0" applyFont="1" applyFill="1" applyBorder="1" applyAlignment="1" applyProtection="1">
      <alignment horizontal="left" indent="1"/>
      <protection/>
    </xf>
    <xf numFmtId="0" fontId="12" fillId="33" borderId="71" xfId="0" applyFont="1" applyFill="1" applyBorder="1" applyAlignment="1" applyProtection="1">
      <alignment horizontal="left" indent="1"/>
      <protection/>
    </xf>
    <xf numFmtId="0" fontId="1" fillId="33" borderId="53" xfId="0" applyFont="1" applyFill="1" applyBorder="1" applyAlignment="1" applyProtection="1">
      <alignment horizontal="left" indent="1"/>
      <protection/>
    </xf>
    <xf numFmtId="0" fontId="1" fillId="33" borderId="46" xfId="0" applyFont="1" applyFill="1" applyBorder="1" applyAlignment="1" applyProtection="1">
      <alignment horizontal="left" indent="1"/>
      <protection/>
    </xf>
    <xf numFmtId="0" fontId="1" fillId="33" borderId="72" xfId="0" applyFont="1" applyFill="1" applyBorder="1" applyAlignment="1" applyProtection="1">
      <alignment horizontal="left" indent="1"/>
      <protection/>
    </xf>
    <xf numFmtId="0" fontId="12" fillId="33" borderId="73" xfId="0" applyFont="1" applyFill="1" applyBorder="1" applyAlignment="1" applyProtection="1">
      <alignment horizontal="left" indent="1"/>
      <protection/>
    </xf>
    <xf numFmtId="0" fontId="12" fillId="33" borderId="74" xfId="0" applyFont="1" applyFill="1" applyBorder="1" applyAlignment="1" applyProtection="1">
      <alignment horizontal="left" indent="1"/>
      <protection/>
    </xf>
    <xf numFmtId="0" fontId="12" fillId="33" borderId="36" xfId="0" applyFont="1" applyFill="1" applyBorder="1" applyAlignment="1" applyProtection="1">
      <alignment horizontal="left" indent="1"/>
      <protection/>
    </xf>
    <xf numFmtId="0" fontId="12" fillId="33" borderId="75" xfId="0" applyFont="1" applyFill="1" applyBorder="1" applyAlignment="1" applyProtection="1">
      <alignment horizontal="left" indent="1"/>
      <protection/>
    </xf>
    <xf numFmtId="0" fontId="1" fillId="33" borderId="36" xfId="0" applyFont="1" applyFill="1" applyBorder="1" applyAlignment="1" applyProtection="1">
      <alignment horizontal="left" indent="1"/>
      <protection/>
    </xf>
    <xf numFmtId="0" fontId="26" fillId="45" borderId="0" xfId="0" applyFont="1" applyFill="1" applyBorder="1" applyAlignment="1">
      <alignment horizontal="center" vertical="center" textRotation="90" wrapText="1"/>
    </xf>
    <xf numFmtId="0" fontId="29" fillId="41" borderId="35" xfId="0" applyFont="1" applyFill="1" applyBorder="1" applyAlignment="1">
      <alignment horizontal="center" vertical="center" wrapText="1"/>
    </xf>
    <xf numFmtId="0" fontId="29" fillId="41" borderId="76" xfId="0" applyFont="1" applyFill="1" applyBorder="1" applyAlignment="1">
      <alignment horizontal="center" vertical="center" wrapText="1"/>
    </xf>
    <xf numFmtId="0" fontId="28" fillId="40" borderId="35" xfId="0" applyFont="1" applyFill="1" applyBorder="1" applyAlignment="1">
      <alignment horizontal="center" vertical="center" wrapText="1"/>
    </xf>
    <xf numFmtId="0" fontId="28" fillId="40" borderId="76" xfId="0" applyFont="1" applyFill="1" applyBorder="1" applyAlignment="1">
      <alignment horizontal="center" vertical="center" wrapText="1"/>
    </xf>
    <xf numFmtId="0" fontId="29" fillId="41" borderId="63" xfId="0" applyFont="1" applyFill="1" applyBorder="1" applyAlignment="1">
      <alignment horizontal="left" vertical="center" wrapText="1"/>
    </xf>
    <xf numFmtId="0" fontId="29" fillId="41" borderId="77" xfId="0" applyFont="1" applyFill="1" applyBorder="1" applyAlignment="1">
      <alignment horizontal="left" vertical="center" wrapText="1"/>
    </xf>
    <xf numFmtId="0" fontId="21" fillId="38" borderId="0" xfId="0" applyFont="1" applyFill="1" applyAlignment="1">
      <alignment horizontal="center"/>
    </xf>
    <xf numFmtId="0" fontId="16" fillId="38" borderId="58" xfId="0" applyFont="1" applyFill="1" applyBorder="1" applyAlignment="1">
      <alignment horizontal="center" vertical="center"/>
    </xf>
    <xf numFmtId="0" fontId="23" fillId="38" borderId="58" xfId="0" applyFont="1" applyFill="1" applyBorder="1" applyAlignment="1">
      <alignment horizontal="center" vertical="center" wrapText="1"/>
    </xf>
    <xf numFmtId="0" fontId="28" fillId="40" borderId="63" xfId="0" applyFont="1" applyFill="1" applyBorder="1" applyAlignment="1">
      <alignment horizontal="left" vertical="center" wrapText="1"/>
    </xf>
    <xf numFmtId="0" fontId="28" fillId="40" borderId="77" xfId="0" applyFont="1" applyFill="1" applyBorder="1" applyAlignment="1">
      <alignment horizontal="left" vertical="center" wrapText="1"/>
    </xf>
    <xf numFmtId="0" fontId="26" fillId="45" borderId="60" xfId="0" applyFont="1" applyFill="1" applyBorder="1" applyAlignment="1">
      <alignment horizontal="center" vertical="center" textRotation="90" wrapText="1"/>
    </xf>
    <xf numFmtId="0" fontId="24" fillId="0" borderId="0" xfId="0" applyFont="1" applyAlignment="1">
      <alignment horizontal="center" wrapText="1"/>
    </xf>
    <xf numFmtId="0" fontId="25" fillId="45" borderId="78" xfId="0" applyFont="1" applyFill="1" applyBorder="1" applyAlignment="1">
      <alignment horizontal="center" vertical="center" textRotation="90" wrapText="1"/>
    </xf>
    <xf numFmtId="0" fontId="25" fillId="45" borderId="79" xfId="0" applyFont="1" applyFill="1" applyBorder="1" applyAlignment="1">
      <alignment horizontal="center" vertical="center" textRotation="90" wrapText="1"/>
    </xf>
    <xf numFmtId="0" fontId="26" fillId="45" borderId="59" xfId="0" applyFont="1" applyFill="1" applyBorder="1" applyAlignment="1">
      <alignment horizontal="center" vertical="center" textRotation="90" wrapText="1"/>
    </xf>
    <xf numFmtId="0" fontId="28" fillId="40" borderId="68" xfId="0" applyFont="1" applyFill="1" applyBorder="1" applyAlignment="1">
      <alignment horizontal="center" vertical="center" wrapText="1"/>
    </xf>
    <xf numFmtId="0" fontId="28" fillId="40" borderId="80" xfId="0" applyFont="1" applyFill="1" applyBorder="1" applyAlignment="1">
      <alignment horizontal="center" vertical="center" wrapText="1"/>
    </xf>
    <xf numFmtId="0" fontId="30" fillId="44" borderId="81" xfId="0" applyFont="1" applyFill="1" applyBorder="1" applyAlignment="1">
      <alignment horizontal="center" vertical="center" textRotation="90" wrapText="1"/>
    </xf>
    <xf numFmtId="0" fontId="30" fillId="44" borderId="78" xfId="0" applyFont="1" applyFill="1" applyBorder="1" applyAlignment="1">
      <alignment horizontal="center" vertical="center" textRotation="90" wrapText="1"/>
    </xf>
    <xf numFmtId="0" fontId="30" fillId="44" borderId="82" xfId="0" applyFont="1" applyFill="1" applyBorder="1" applyAlignment="1">
      <alignment horizontal="center" vertical="center" textRotation="90" wrapText="1"/>
    </xf>
    <xf numFmtId="0" fontId="31" fillId="44" borderId="53" xfId="0" applyFont="1" applyFill="1" applyBorder="1" applyAlignment="1">
      <alignment horizontal="center" vertical="center" textRotation="90" wrapText="1"/>
    </xf>
    <xf numFmtId="0" fontId="31" fillId="44" borderId="71" xfId="0" applyFont="1" applyFill="1" applyBorder="1" applyAlignment="1">
      <alignment horizontal="center" vertical="center" textRotation="90" wrapText="1"/>
    </xf>
    <xf numFmtId="0" fontId="31" fillId="44" borderId="83" xfId="0" applyFont="1" applyFill="1" applyBorder="1" applyAlignment="1">
      <alignment horizontal="center" vertical="center" textRotation="90" wrapText="1"/>
    </xf>
    <xf numFmtId="0" fontId="31" fillId="44" borderId="84" xfId="0" applyFont="1" applyFill="1" applyBorder="1" applyAlignment="1">
      <alignment horizontal="center" vertical="center" textRotation="90" wrapText="1"/>
    </xf>
    <xf numFmtId="0" fontId="31" fillId="44" borderId="68" xfId="0" applyFont="1" applyFill="1" applyBorder="1" applyAlignment="1">
      <alignment horizontal="center" vertical="center" textRotation="90" wrapText="1"/>
    </xf>
    <xf numFmtId="0" fontId="31" fillId="44" borderId="69" xfId="0" applyFont="1" applyFill="1" applyBorder="1" applyAlignment="1">
      <alignment horizontal="center" vertical="center" textRotation="90" wrapText="1"/>
    </xf>
    <xf numFmtId="0" fontId="33" fillId="42" borderId="53" xfId="0" applyFont="1" applyFill="1" applyBorder="1" applyAlignment="1">
      <alignment horizontal="left" vertical="center" wrapText="1"/>
    </xf>
    <xf numFmtId="0" fontId="33" fillId="42" borderId="85" xfId="0" applyFont="1" applyFill="1" applyBorder="1" applyAlignment="1">
      <alignment horizontal="left" vertical="center" wrapText="1"/>
    </xf>
    <xf numFmtId="0" fontId="33" fillId="42" borderId="64" xfId="0" applyFont="1" applyFill="1" applyBorder="1" applyAlignment="1">
      <alignment horizontal="left" vertical="center" wrapText="1"/>
    </xf>
    <xf numFmtId="0" fontId="33" fillId="42" borderId="86" xfId="0" applyFont="1" applyFill="1" applyBorder="1" applyAlignment="1">
      <alignment horizontal="left" vertical="center" wrapText="1"/>
    </xf>
    <xf numFmtId="0" fontId="31" fillId="44" borderId="0" xfId="0" applyFont="1" applyFill="1" applyBorder="1" applyAlignment="1">
      <alignment horizontal="center" vertical="center" textRotation="90" wrapText="1"/>
    </xf>
    <xf numFmtId="0" fontId="31" fillId="44" borderId="87" xfId="0" applyFont="1" applyFill="1" applyBorder="1" applyAlignment="1">
      <alignment horizontal="center" vertical="center" textRotation="90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Granulométrica</a:t>
            </a:r>
          </a:p>
        </c:rich>
      </c:tx>
      <c:layout>
        <c:manualLayout>
          <c:xMode val="factor"/>
          <c:yMode val="factor"/>
          <c:x val="0.00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5425"/>
          <c:w val="0.96525"/>
          <c:h val="0.78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GRANULOM!$L$52:$L$53</c:f>
              <c:numCache/>
            </c:numRef>
          </c:xVal>
          <c:yVal>
            <c:numRef>
              <c:f>GRANULOM!$M$52:$M$53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GRANULOM!$L$43:$L$44</c:f>
              <c:numCache/>
            </c:numRef>
          </c:xVal>
          <c:yVal>
            <c:numRef>
              <c:f>GRANULOM!$M$43:$M$44</c:f>
              <c:numCache/>
            </c:numRef>
          </c:yVal>
          <c:smooth val="0"/>
        </c:ser>
        <c:ser>
          <c:idx val="11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GRANULOM!$L$46:$L$47</c:f>
              <c:numCache/>
            </c:numRef>
          </c:xVal>
          <c:yVal>
            <c:numRef>
              <c:f>GRANULOM!$M$46:$M$47</c:f>
              <c:numCache/>
            </c:numRef>
          </c:yVal>
          <c:smooth val="0"/>
        </c:ser>
        <c:ser>
          <c:idx val="12"/>
          <c:order val="3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GRANULOM!$L$58:$L$59</c:f>
              <c:numCache/>
            </c:numRef>
          </c:xVal>
          <c:yVal>
            <c:numRef>
              <c:f>GRANULOM!$M$58:$M$59</c:f>
              <c:numCache/>
            </c:numRef>
          </c:yVal>
          <c:smooth val="0"/>
        </c:ser>
        <c:ser>
          <c:idx val="16"/>
          <c:order val="4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GRANULOM!$L$55:$L$56</c:f>
              <c:numCache/>
            </c:numRef>
          </c:xVal>
          <c:yVal>
            <c:numRef>
              <c:f>GRANULOM!$M$55:$M$56</c:f>
              <c:numCache/>
            </c:numRef>
          </c:yVal>
          <c:smooth val="0"/>
        </c:ser>
        <c:ser>
          <c:idx val="19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GRANULOM!$O$43:$O$55</c:f>
              <c:numCache/>
            </c:numRef>
          </c:xVal>
          <c:yVal>
            <c:numRef>
              <c:f>GRANULOM!$P$43:$P$55</c:f>
              <c:numCache/>
            </c:numRef>
          </c:yVal>
          <c:smooth val="0"/>
        </c:ser>
        <c:ser>
          <c:idx val="20"/>
          <c:order val="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GRANULOM!$L$49:$L$50</c:f>
              <c:numCache/>
            </c:numRef>
          </c:xVal>
          <c:yVal>
            <c:numRef>
              <c:f>GRANULOM!$M$49:$M$50</c:f>
              <c:numCache/>
            </c:numRef>
          </c:yVal>
          <c:smooth val="0"/>
        </c:ser>
        <c:axId val="48939728"/>
        <c:axId val="37804369"/>
      </c:scatterChart>
      <c:valAx>
        <c:axId val="48939728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Diámetro de las Partículas (mm)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804369"/>
        <c:crosses val="autoZero"/>
        <c:crossBetween val="midCat"/>
        <c:dispUnits/>
        <c:majorUnit val="10"/>
        <c:minorUnit val="10"/>
      </c:valAx>
      <c:valAx>
        <c:axId val="3780436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Acumulado Que Pasa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939728"/>
        <c:crossesAt val="0.01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de Fluidez</a:t>
            </a:r>
          </a:p>
        </c:rich>
      </c:tx>
      <c:layout>
        <c:manualLayout>
          <c:xMode val="factor"/>
          <c:yMode val="factor"/>
          <c:x val="-0.00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8175"/>
          <c:w val="0.9695"/>
          <c:h val="0.85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LIMITES!$K$26:$K$27</c:f>
              <c:numCache/>
            </c:numRef>
          </c:xVal>
          <c:yVal>
            <c:numRef>
              <c:f>LIMITES!$L$26:$L$27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LIMITES!$K$24:$K$25</c:f>
              <c:numCache/>
            </c:numRef>
          </c:xVal>
          <c:yVal>
            <c:numRef>
              <c:f>LIMITES!$L$24:$L$25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958C4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A6CAF0"/>
                </a:solidFill>
              </a:ln>
            </c:spPr>
            <c:marker>
              <c:symbol val="none"/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LIMITES!$K$22:$K$23</c:f>
              <c:numCache/>
            </c:numRef>
          </c:xVal>
          <c:yVal>
            <c:numRef>
              <c:f>LIMITES!$L$22:$L$23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LIMITES!$L$35:$L$38</c:f>
              <c:numCache/>
            </c:numRef>
          </c:xVal>
          <c:yVal>
            <c:numRef>
              <c:f>LIMITES!$M$35:$M$38</c:f>
              <c:numCache/>
            </c:numRef>
          </c:yVal>
          <c:smooth val="0"/>
        </c:ser>
        <c:axId val="4695002"/>
        <c:axId val="42255019"/>
      </c:scatterChart>
      <c:valAx>
        <c:axId val="4695002"/>
        <c:scaling>
          <c:logBase val="10"/>
          <c:orientation val="minMax"/>
          <c:max val="1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Golpes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255019"/>
        <c:crosses val="autoZero"/>
        <c:crossBetween val="midCat"/>
        <c:dispUnits/>
      </c:valAx>
      <c:valAx>
        <c:axId val="42255019"/>
        <c:scaling>
          <c:orientation val="minMax"/>
          <c:max val="3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Contenido de Humedad (%)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5002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Granulométrica</a:t>
            </a:r>
          </a:p>
        </c:rich>
      </c:tx>
      <c:layout>
        <c:manualLayout>
          <c:xMode val="factor"/>
          <c:yMode val="factor"/>
          <c:x val="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315"/>
          <c:w val="0.873"/>
          <c:h val="0.788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GRANULOM!$L$52:$L$53</c:f>
              <c:numCache>
                <c:ptCount val="2"/>
                <c:pt idx="0">
                  <c:v>4.75</c:v>
                </c:pt>
                <c:pt idx="1">
                  <c:v>4.75</c:v>
                </c:pt>
              </c:numCache>
            </c:numRef>
          </c:xVal>
          <c:yVal>
            <c:numRef>
              <c:f>GRANULOM!$M$52:$M$53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GRANULOM!$L$43:$L$44</c:f>
              <c:numCache>
                <c:ptCount val="2"/>
                <c:pt idx="0">
                  <c:v>0.075</c:v>
                </c:pt>
                <c:pt idx="1">
                  <c:v>0.075</c:v>
                </c:pt>
              </c:numCache>
            </c:numRef>
          </c:xVal>
          <c:yVal>
            <c:numRef>
              <c:f>GRANULOM!$M$43:$M$44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1"/>
          <c:order val="2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GRANULOM!$L$46:$L$47</c:f>
              <c:numCache>
                <c:ptCount val="2"/>
                <c:pt idx="0">
                  <c:v>0.425</c:v>
                </c:pt>
                <c:pt idx="1">
                  <c:v>0.425</c:v>
                </c:pt>
              </c:numCache>
            </c:numRef>
          </c:xVal>
          <c:yVal>
            <c:numRef>
              <c:f>GRANULOM!$M$46:$M$47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2"/>
          <c:order val="3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GRANULOM!$L$58:$L$59</c:f>
              <c:numCache>
                <c:ptCount val="2"/>
                <c:pt idx="0">
                  <c:v>75</c:v>
                </c:pt>
                <c:pt idx="1">
                  <c:v>75</c:v>
                </c:pt>
              </c:numCache>
            </c:numRef>
          </c:xVal>
          <c:yVal>
            <c:numRef>
              <c:f>GRANULOM!$M$58:$M$59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6"/>
          <c:order val="4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GRANULOM!$L$55:$L$56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xVal>
          <c:yVal>
            <c:numRef>
              <c:f>GRANULOM!$M$55:$M$56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9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GRANULOM!$O$43:$O$55</c:f>
              <c:numCache>
                <c:ptCount val="13"/>
                <c:pt idx="0">
                  <c:v>75</c:v>
                </c:pt>
                <c:pt idx="1">
                  <c:v>50</c:v>
                </c:pt>
                <c:pt idx="2">
                  <c:v>37.5</c:v>
                </c:pt>
                <c:pt idx="3">
                  <c:v>25</c:v>
                </c:pt>
                <c:pt idx="4">
                  <c:v>19</c:v>
                </c:pt>
                <c:pt idx="5">
                  <c:v>9.5</c:v>
                </c:pt>
                <c:pt idx="6">
                  <c:v>4.75</c:v>
                </c:pt>
                <c:pt idx="7">
                  <c:v>2</c:v>
                </c:pt>
                <c:pt idx="8">
                  <c:v>0.85</c:v>
                </c:pt>
                <c:pt idx="9">
                  <c:v>0.425</c:v>
                </c:pt>
                <c:pt idx="10">
                  <c:v>0.25</c:v>
                </c:pt>
                <c:pt idx="11">
                  <c:v>0.15</c:v>
                </c:pt>
                <c:pt idx="12">
                  <c:v>0.075</c:v>
                </c:pt>
              </c:numCache>
            </c:numRef>
          </c:xVal>
          <c:yVal>
            <c:numRef>
              <c:f>GRANULOM!$P$43:$P$55</c:f>
              <c:numCache>
                <c:ptCount val="13"/>
                <c:pt idx="0">
                  <c:v>100</c:v>
                </c:pt>
                <c:pt idx="1">
                  <c:v>100</c:v>
                </c:pt>
                <c:pt idx="2">
                  <c:v>91.97107333164172</c:v>
                </c:pt>
                <c:pt idx="3">
                  <c:v>81.67089571174829</c:v>
                </c:pt>
                <c:pt idx="4">
                  <c:v>78.0091347373763</c:v>
                </c:pt>
                <c:pt idx="5">
                  <c:v>67.4138543516874</c:v>
                </c:pt>
                <c:pt idx="6">
                  <c:v>59.33291042882519</c:v>
                </c:pt>
                <c:pt idx="7">
                  <c:v>51.49226084750065</c:v>
                </c:pt>
                <c:pt idx="8">
                  <c:v>46.80994671403199</c:v>
                </c:pt>
                <c:pt idx="9">
                  <c:v>43.88048718599342</c:v>
                </c:pt>
                <c:pt idx="10">
                  <c:v>41.558487693478824</c:v>
                </c:pt>
                <c:pt idx="11">
                  <c:v>38.34712002029943</c:v>
                </c:pt>
                <c:pt idx="12">
                  <c:v>33.555442781020055</c:v>
                </c:pt>
              </c:numCache>
            </c:numRef>
          </c:yVal>
          <c:smooth val="0"/>
        </c:ser>
        <c:ser>
          <c:idx val="20"/>
          <c:order val="6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GRANULOM!$L$49:$L$50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GRANULOM!$M$49:$M$50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axId val="44750852"/>
        <c:axId val="104485"/>
      </c:scatterChart>
      <c:valAx>
        <c:axId val="44750852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Diámetro de las Partículas (mm)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4485"/>
        <c:crosses val="autoZero"/>
        <c:crossBetween val="midCat"/>
        <c:dispUnits/>
        <c:majorUnit val="10"/>
        <c:minorUnit val="10"/>
      </c:valAx>
      <c:valAx>
        <c:axId val="10448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Acumulado Que Pasa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75085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Carta de Plasticidad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4825"/>
          <c:w val="0.94575"/>
          <c:h val="0.866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LIMITES!$I$47</c:f>
              <c:numCache>
                <c:ptCount val="1"/>
                <c:pt idx="0">
                  <c:v>18</c:v>
                </c:pt>
              </c:numCache>
            </c:numRef>
          </c:xVal>
          <c:yVal>
            <c:numRef>
              <c:f>LIMITES!$J$47</c:f>
              <c:numCache>
                <c:ptCount val="1"/>
                <c:pt idx="0">
                  <c:v>4.084188279446497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LIMITES!$I$45:$I$46</c:f>
              <c:numCache>
                <c:ptCount val="2"/>
                <c:pt idx="0">
                  <c:v>0</c:v>
                </c:pt>
                <c:pt idx="1">
                  <c:v>60</c:v>
                </c:pt>
              </c:numCache>
            </c:numRef>
          </c:xVal>
          <c:yVal>
            <c:numRef>
              <c:f>LIMITES!$J$45:$J$46</c:f>
              <c:numCache>
                <c:ptCount val="2"/>
                <c:pt idx="0">
                  <c:v>0</c:v>
                </c:pt>
                <c:pt idx="1">
                  <c:v>60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LIMITES!$I$43:$I$44</c:f>
              <c:numCache>
                <c:ptCount val="2"/>
                <c:pt idx="0">
                  <c:v>0</c:v>
                </c:pt>
                <c:pt idx="1">
                  <c:v>29.589041095890412</c:v>
                </c:pt>
              </c:numCache>
            </c:numRef>
          </c:xVal>
          <c:yVal>
            <c:numRef>
              <c:f>LIMITES!$J$43:$J$44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LIMITES!$I$41:$I$42</c:f>
              <c:numCache>
                <c:ptCount val="2"/>
                <c:pt idx="0">
                  <c:v>0</c:v>
                </c:pt>
                <c:pt idx="1">
                  <c:v>25.47945205479452</c:v>
                </c:pt>
              </c:numCache>
            </c:numRef>
          </c:xVal>
          <c:yVal>
            <c:numRef>
              <c:f>LIMITES!$J$41:$J$42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LIMITES!$I$39:$I$40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LIMITES!$J$39:$J$40</c:f>
              <c:numCache>
                <c:ptCount val="2"/>
                <c:pt idx="0">
                  <c:v>0</c:v>
                </c:pt>
                <c:pt idx="1">
                  <c:v>60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LIMITES!$I$37:$I$38</c:f>
              <c:numCache>
                <c:ptCount val="2"/>
                <c:pt idx="0">
                  <c:v>16</c:v>
                </c:pt>
                <c:pt idx="1">
                  <c:v>74.66666666666667</c:v>
                </c:pt>
              </c:numCache>
            </c:numRef>
          </c:xVal>
          <c:yVal>
            <c:numRef>
              <c:f>LIMITES!$J$37:$J$38</c:f>
              <c:numCache>
                <c:ptCount val="2"/>
                <c:pt idx="0">
                  <c:v>7</c:v>
                </c:pt>
                <c:pt idx="1">
                  <c:v>60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LIMITES!$I$35:$I$36</c:f>
              <c:numCache>
                <c:ptCount val="2"/>
                <c:pt idx="0">
                  <c:v>25.47945205479452</c:v>
                </c:pt>
                <c:pt idx="1">
                  <c:v>102.19178082191782</c:v>
                </c:pt>
              </c:numCache>
            </c:numRef>
          </c:xVal>
          <c:yVal>
            <c:numRef>
              <c:f>LIMITES!$J$35:$J$36</c:f>
              <c:numCache>
                <c:ptCount val="2"/>
                <c:pt idx="0">
                  <c:v>4</c:v>
                </c:pt>
                <c:pt idx="1">
                  <c:v>60</c:v>
                </c:pt>
              </c:numCache>
            </c:numRef>
          </c:yVal>
          <c:smooth val="0"/>
        </c:ser>
        <c:axId val="940366"/>
        <c:axId val="8463295"/>
      </c:scatterChart>
      <c:valAx>
        <c:axId val="940366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Límite Líquido (LL)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463295"/>
        <c:crosses val="autoZero"/>
        <c:crossBetween val="midCat"/>
        <c:dispUnits/>
        <c:majorUnit val="10"/>
      </c:valAx>
      <c:valAx>
        <c:axId val="846329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Plastico (IP)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40366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de Fluidez</a:t>
            </a:r>
          </a:p>
        </c:rich>
      </c:tx>
      <c:layout>
        <c:manualLayout>
          <c:xMode val="factor"/>
          <c:yMode val="factor"/>
          <c:x val="0.01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8675"/>
          <c:w val="0.92575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LIMITES!$K$26:$K$27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LIMITES!$L$26:$L$27</c:f>
              <c:numCache>
                <c:ptCount val="2"/>
                <c:pt idx="0">
                  <c:v>23.4</c:v>
                </c:pt>
                <c:pt idx="1">
                  <c:v>23.4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LIMITES!$K$24:$K$25</c:f>
              <c:numCache>
                <c:ptCount val="2"/>
                <c:pt idx="0">
                  <c:v>10</c:v>
                </c:pt>
                <c:pt idx="1">
                  <c:v>100</c:v>
                </c:pt>
              </c:numCache>
            </c:numRef>
          </c:xVal>
          <c:yVal>
            <c:numRef>
              <c:f>LIMITES!$L$24:$L$25</c:f>
              <c:numCache>
                <c:ptCount val="2"/>
                <c:pt idx="0">
                  <c:v>27</c:v>
                </c:pt>
                <c:pt idx="1">
                  <c:v>18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LIMITES!$K$22:$K$23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LIMITES!$L$22:$L$23</c:f>
              <c:numCache>
                <c:ptCount val="2"/>
                <c:pt idx="0">
                  <c:v>23.4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LIMITES!$L$35:$L$38</c:f>
              <c:numCache>
                <c:ptCount val="4"/>
                <c:pt idx="0">
                  <c:v>43</c:v>
                </c:pt>
                <c:pt idx="1">
                  <c:v>11</c:v>
                </c:pt>
                <c:pt idx="2">
                  <c:v>23</c:v>
                </c:pt>
                <c:pt idx="3">
                  <c:v>16</c:v>
                </c:pt>
              </c:numCache>
            </c:numRef>
          </c:xVal>
          <c:yVal>
            <c:numRef>
              <c:f>LIMITES!$M$35:$M$38</c:f>
              <c:numCache>
                <c:ptCount val="4"/>
                <c:pt idx="0">
                  <c:v>21.352313167259805</c:v>
                </c:pt>
                <c:pt idx="1">
                  <c:v>26.799999999999997</c:v>
                </c:pt>
                <c:pt idx="2">
                  <c:v>23.55460385438971</c:v>
                </c:pt>
                <c:pt idx="3">
                  <c:v>25.105307497893854</c:v>
                </c:pt>
              </c:numCache>
            </c:numRef>
          </c:yVal>
          <c:smooth val="0"/>
        </c:ser>
        <c:axId val="9060792"/>
        <c:axId val="14438265"/>
      </c:scatterChart>
      <c:valAx>
        <c:axId val="9060792"/>
        <c:scaling>
          <c:logBase val="10"/>
          <c:orientation val="minMax"/>
          <c:max val="1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Golpes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438265"/>
        <c:crosses val="autoZero"/>
        <c:crossBetween val="midCat"/>
        <c:dispUnits/>
      </c:valAx>
      <c:valAx>
        <c:axId val="14438265"/>
        <c:scaling>
          <c:orientation val="minMax"/>
          <c:max val="3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Contenido de Humedad (%)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06079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0.90275</cdr:y>
    </cdr:from>
    <cdr:to>
      <cdr:x>0.9525</cdr:x>
      <cdr:y>1</cdr:y>
    </cdr:to>
    <cdr:sp>
      <cdr:nvSpPr>
        <cdr:cNvPr id="1" name="Rectangle 1"/>
        <cdr:cNvSpPr>
          <a:spLocks/>
        </cdr:cNvSpPr>
      </cdr:nvSpPr>
      <cdr:spPr>
        <a:xfrm>
          <a:off x="476250" y="3057525"/>
          <a:ext cx="56864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0.905</cdr:y>
    </cdr:from>
    <cdr:to>
      <cdr:x>0.27525</cdr:x>
      <cdr:y>1</cdr:y>
    </cdr:to>
    <cdr:sp>
      <cdr:nvSpPr>
        <cdr:cNvPr id="2" name="Line 2"/>
        <cdr:cNvSpPr>
          <a:spLocks/>
        </cdr:cNvSpPr>
      </cdr:nvSpPr>
      <cdr:spPr>
        <a:xfrm>
          <a:off x="1781175" y="3067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0.9505</cdr:y>
    </cdr:from>
    <cdr:to>
      <cdr:x>0.9525</cdr:x>
      <cdr:y>0.951</cdr:y>
    </cdr:to>
    <cdr:sp>
      <cdr:nvSpPr>
        <cdr:cNvPr id="3" name="Line 3"/>
        <cdr:cNvSpPr>
          <a:spLocks/>
        </cdr:cNvSpPr>
      </cdr:nvSpPr>
      <cdr:spPr>
        <a:xfrm flipH="1" flipV="1">
          <a:off x="1781175" y="3219450"/>
          <a:ext cx="439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0.443</cdr:x>
      <cdr:y>0.905</cdr:y>
    </cdr:from>
    <cdr:to>
      <cdr:x>0.443</cdr:x>
      <cdr:y>0.952</cdr:y>
    </cdr:to>
    <cdr:sp>
      <cdr:nvSpPr>
        <cdr:cNvPr id="4" name="Line 4"/>
        <cdr:cNvSpPr>
          <a:spLocks/>
        </cdr:cNvSpPr>
      </cdr:nvSpPr>
      <cdr:spPr>
        <a:xfrm>
          <a:off x="2867025" y="30670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0.601</cdr:x>
      <cdr:y>0.9015</cdr:y>
    </cdr:from>
    <cdr:to>
      <cdr:x>0.601</cdr:x>
      <cdr:y>0.9505</cdr:y>
    </cdr:to>
    <cdr:sp>
      <cdr:nvSpPr>
        <cdr:cNvPr id="5" name="Line 5"/>
        <cdr:cNvSpPr>
          <a:spLocks/>
        </cdr:cNvSpPr>
      </cdr:nvSpPr>
      <cdr:spPr>
        <a:xfrm>
          <a:off x="3886200" y="3048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0.68175</cdr:x>
      <cdr:y>0.905</cdr:y>
    </cdr:from>
    <cdr:to>
      <cdr:x>0.68175</cdr:x>
      <cdr:y>1</cdr:y>
    </cdr:to>
    <cdr:sp>
      <cdr:nvSpPr>
        <cdr:cNvPr id="6" name="Line 6"/>
        <cdr:cNvSpPr>
          <a:spLocks/>
        </cdr:cNvSpPr>
      </cdr:nvSpPr>
      <cdr:spPr>
        <a:xfrm>
          <a:off x="4410075" y="3067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0.81525</cdr:x>
      <cdr:y>0.9015</cdr:y>
    </cdr:from>
    <cdr:to>
      <cdr:x>0.81525</cdr:x>
      <cdr:y>0.951</cdr:y>
    </cdr:to>
    <cdr:sp>
      <cdr:nvSpPr>
        <cdr:cNvPr id="7" name="Line 7"/>
        <cdr:cNvSpPr>
          <a:spLocks/>
        </cdr:cNvSpPr>
      </cdr:nvSpPr>
      <cdr:spPr>
        <a:xfrm>
          <a:off x="5276850" y="30480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0.1155</cdr:x>
      <cdr:y>0.9325</cdr:y>
    </cdr:from>
    <cdr:to>
      <cdr:x>0.2465</cdr:x>
      <cdr:y>0.967</cdr:y>
    </cdr:to>
    <cdr:sp>
      <cdr:nvSpPr>
        <cdr:cNvPr id="8" name="Texto 8"/>
        <cdr:cNvSpPr txBox="1">
          <a:spLocks noChangeArrowheads="1"/>
        </cdr:cNvSpPr>
      </cdr:nvSpPr>
      <cdr:spPr>
        <a:xfrm>
          <a:off x="742950" y="3152775"/>
          <a:ext cx="847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 y Arcilla</a:t>
          </a:r>
        </a:p>
      </cdr:txBody>
    </cdr:sp>
  </cdr:relSizeAnchor>
  <cdr:relSizeAnchor xmlns:cdr="http://schemas.openxmlformats.org/drawingml/2006/chartDrawing">
    <cdr:from>
      <cdr:x>0.338</cdr:x>
      <cdr:y>0.9075</cdr:y>
    </cdr:from>
    <cdr:to>
      <cdr:x>0.3855</cdr:x>
      <cdr:y>0.95075</cdr:y>
    </cdr:to>
    <cdr:sp>
      <cdr:nvSpPr>
        <cdr:cNvPr id="9" name="Texto 9"/>
        <cdr:cNvSpPr txBox="1">
          <a:spLocks noChangeArrowheads="1"/>
        </cdr:cNvSpPr>
      </cdr:nvSpPr>
      <cdr:spPr>
        <a:xfrm>
          <a:off x="2181225" y="307657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   </a:t>
          </a:r>
        </a:p>
      </cdr:txBody>
    </cdr:sp>
  </cdr:relSizeAnchor>
  <cdr:relSizeAnchor xmlns:cdr="http://schemas.openxmlformats.org/drawingml/2006/chartDrawing">
    <cdr:from>
      <cdr:x>0.45375</cdr:x>
      <cdr:y>0.95475</cdr:y>
    </cdr:from>
    <cdr:to>
      <cdr:x>0.512</cdr:x>
      <cdr:y>0.998</cdr:y>
    </cdr:to>
    <cdr:sp>
      <cdr:nvSpPr>
        <cdr:cNvPr id="10" name="Texto 10"/>
        <cdr:cNvSpPr txBox="1">
          <a:spLocks noChangeArrowheads="1"/>
        </cdr:cNvSpPr>
      </cdr:nvSpPr>
      <cdr:spPr>
        <a:xfrm>
          <a:off x="2933700" y="3228975"/>
          <a:ext cx="3810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Arena</a:t>
          </a:r>
        </a:p>
      </cdr:txBody>
    </cdr:sp>
  </cdr:relSizeAnchor>
  <cdr:relSizeAnchor xmlns:cdr="http://schemas.openxmlformats.org/drawingml/2006/chartDrawing">
    <cdr:from>
      <cdr:x>0.791</cdr:x>
      <cdr:y>0.95425</cdr:y>
    </cdr:from>
    <cdr:to>
      <cdr:x>0.85025</cdr:x>
      <cdr:y>1</cdr:y>
    </cdr:to>
    <cdr:sp>
      <cdr:nvSpPr>
        <cdr:cNvPr id="11" name="Texto 11"/>
        <cdr:cNvSpPr txBox="1">
          <a:spLocks noChangeArrowheads="1"/>
        </cdr:cNvSpPr>
      </cdr:nvSpPr>
      <cdr:spPr>
        <a:xfrm>
          <a:off x="5114925" y="3228975"/>
          <a:ext cx="3810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0.24375</cdr:x>
      <cdr:y>0.85525</cdr:y>
    </cdr:from>
    <cdr:to>
      <cdr:x>0.2975</cdr:x>
      <cdr:y>0.8985</cdr:y>
    </cdr:to>
    <cdr:sp>
      <cdr:nvSpPr>
        <cdr:cNvPr id="12" name="Texto 12"/>
        <cdr:cNvSpPr txBox="1">
          <a:spLocks noChangeArrowheads="1"/>
        </cdr:cNvSpPr>
      </cdr:nvSpPr>
      <cdr:spPr>
        <a:xfrm>
          <a:off x="1571625" y="2895600"/>
          <a:ext cx="352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0.075 </a:t>
          </a:r>
        </a:p>
      </cdr:txBody>
    </cdr:sp>
  </cdr:relSizeAnchor>
  <cdr:relSizeAnchor xmlns:cdr="http://schemas.openxmlformats.org/drawingml/2006/chartDrawing">
    <cdr:from>
      <cdr:x>0.49675</cdr:x>
      <cdr:y>0.908</cdr:y>
    </cdr:from>
    <cdr:to>
      <cdr:x>0.54875</cdr:x>
      <cdr:y>0.95125</cdr:y>
    </cdr:to>
    <cdr:sp>
      <cdr:nvSpPr>
        <cdr:cNvPr id="13" name="Texto 13"/>
        <cdr:cNvSpPr txBox="1">
          <a:spLocks noChangeArrowheads="1"/>
        </cdr:cNvSpPr>
      </cdr:nvSpPr>
      <cdr:spPr>
        <a:xfrm>
          <a:off x="3209925" y="3076575"/>
          <a:ext cx="3333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Media</a:t>
          </a:r>
        </a:p>
      </cdr:txBody>
    </cdr:sp>
  </cdr:relSizeAnchor>
  <cdr:relSizeAnchor xmlns:cdr="http://schemas.openxmlformats.org/drawingml/2006/chartDrawing">
    <cdr:from>
      <cdr:x>0.609</cdr:x>
      <cdr:y>0.90775</cdr:y>
    </cdr:from>
    <cdr:to>
      <cdr:x>0.679</cdr:x>
      <cdr:y>0.95375</cdr:y>
    </cdr:to>
    <cdr:sp>
      <cdr:nvSpPr>
        <cdr:cNvPr id="14" name="Texto 14"/>
        <cdr:cNvSpPr txBox="1">
          <a:spLocks noChangeArrowheads="1"/>
        </cdr:cNvSpPr>
      </cdr:nvSpPr>
      <cdr:spPr>
        <a:xfrm>
          <a:off x="3943350" y="3076575"/>
          <a:ext cx="4572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0.731</cdr:x>
      <cdr:y>0.909</cdr:y>
    </cdr:from>
    <cdr:to>
      <cdr:x>0.7785</cdr:x>
      <cdr:y>0.955</cdr:y>
    </cdr:to>
    <cdr:sp>
      <cdr:nvSpPr>
        <cdr:cNvPr id="15" name="Texto 15"/>
        <cdr:cNvSpPr txBox="1">
          <a:spLocks noChangeArrowheads="1"/>
        </cdr:cNvSpPr>
      </cdr:nvSpPr>
      <cdr:spPr>
        <a:xfrm>
          <a:off x="4733925" y="3076575"/>
          <a:ext cx="304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   </a:t>
          </a:r>
        </a:p>
      </cdr:txBody>
    </cdr:sp>
  </cdr:relSizeAnchor>
  <cdr:relSizeAnchor xmlns:cdr="http://schemas.openxmlformats.org/drawingml/2006/chartDrawing">
    <cdr:from>
      <cdr:x>0.854</cdr:x>
      <cdr:y>0.90775</cdr:y>
    </cdr:from>
    <cdr:to>
      <cdr:x>0.92575</cdr:x>
      <cdr:y>0.95375</cdr:y>
    </cdr:to>
    <cdr:sp>
      <cdr:nvSpPr>
        <cdr:cNvPr id="16" name="Texto 16"/>
        <cdr:cNvSpPr txBox="1">
          <a:spLocks noChangeArrowheads="1"/>
        </cdr:cNvSpPr>
      </cdr:nvSpPr>
      <cdr:spPr>
        <a:xfrm>
          <a:off x="5524500" y="3076575"/>
          <a:ext cx="4667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0.41775</cdr:x>
      <cdr:y>0.85925</cdr:y>
    </cdr:from>
    <cdr:to>
      <cdr:x>0.4655</cdr:x>
      <cdr:y>0.89375</cdr:y>
    </cdr:to>
    <cdr:sp>
      <cdr:nvSpPr>
        <cdr:cNvPr id="17" name="Texto 17"/>
        <cdr:cNvSpPr txBox="1">
          <a:spLocks noChangeArrowheads="1"/>
        </cdr:cNvSpPr>
      </cdr:nvSpPr>
      <cdr:spPr>
        <a:xfrm>
          <a:off x="2705100" y="2905125"/>
          <a:ext cx="3048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0.425</a:t>
          </a:r>
        </a:p>
      </cdr:txBody>
    </cdr:sp>
  </cdr:relSizeAnchor>
  <cdr:relSizeAnchor xmlns:cdr="http://schemas.openxmlformats.org/drawingml/2006/chartDrawing">
    <cdr:from>
      <cdr:x>0.57675</cdr:x>
      <cdr:y>0.8575</cdr:y>
    </cdr:from>
    <cdr:to>
      <cdr:x>0.62325</cdr:x>
      <cdr:y>0.90075</cdr:y>
    </cdr:to>
    <cdr:sp>
      <cdr:nvSpPr>
        <cdr:cNvPr id="18" name="Texto 18"/>
        <cdr:cNvSpPr txBox="1">
          <a:spLocks noChangeArrowheads="1"/>
        </cdr:cNvSpPr>
      </cdr:nvSpPr>
      <cdr:spPr>
        <a:xfrm>
          <a:off x="3733800" y="290512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2.00</a:t>
          </a:r>
        </a:p>
      </cdr:txBody>
    </cdr:sp>
  </cdr:relSizeAnchor>
  <cdr:relSizeAnchor xmlns:cdr="http://schemas.openxmlformats.org/drawingml/2006/chartDrawing">
    <cdr:from>
      <cdr:x>0.65925</cdr:x>
      <cdr:y>0.8545</cdr:y>
    </cdr:from>
    <cdr:to>
      <cdr:x>0.70675</cdr:x>
      <cdr:y>0.89775</cdr:y>
    </cdr:to>
    <cdr:sp>
      <cdr:nvSpPr>
        <cdr:cNvPr id="19" name="Texto 19"/>
        <cdr:cNvSpPr txBox="1">
          <a:spLocks noChangeArrowheads="1"/>
        </cdr:cNvSpPr>
      </cdr:nvSpPr>
      <cdr:spPr>
        <a:xfrm>
          <a:off x="4267200" y="289560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4.75</a:t>
          </a:r>
        </a:p>
      </cdr:txBody>
    </cdr:sp>
  </cdr:relSizeAnchor>
  <cdr:relSizeAnchor xmlns:cdr="http://schemas.openxmlformats.org/drawingml/2006/chartDrawing">
    <cdr:from>
      <cdr:x>0.79475</cdr:x>
      <cdr:y>0.857</cdr:y>
    </cdr:from>
    <cdr:to>
      <cdr:x>0.853</cdr:x>
      <cdr:y>0.90025</cdr:y>
    </cdr:to>
    <cdr:sp>
      <cdr:nvSpPr>
        <cdr:cNvPr id="20" name="Texto 20"/>
        <cdr:cNvSpPr txBox="1">
          <a:spLocks noChangeArrowheads="1"/>
        </cdr:cNvSpPr>
      </cdr:nvSpPr>
      <cdr:spPr>
        <a:xfrm>
          <a:off x="5143500" y="2905125"/>
          <a:ext cx="3810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19.00</a:t>
          </a:r>
        </a:p>
      </cdr:txBody>
    </cdr:sp>
  </cdr:relSizeAnchor>
  <cdr:relSizeAnchor xmlns:cdr="http://schemas.openxmlformats.org/drawingml/2006/chartDrawing">
    <cdr:from>
      <cdr:x>0.923</cdr:x>
      <cdr:y>0.857</cdr:y>
    </cdr:from>
    <cdr:to>
      <cdr:x>0.9705</cdr:x>
      <cdr:y>0.90025</cdr:y>
    </cdr:to>
    <cdr:sp>
      <cdr:nvSpPr>
        <cdr:cNvPr id="21" name="Texto 21"/>
        <cdr:cNvSpPr txBox="1">
          <a:spLocks noChangeArrowheads="1"/>
        </cdr:cNvSpPr>
      </cdr:nvSpPr>
      <cdr:spPr>
        <a:xfrm>
          <a:off x="5972175" y="290512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75.00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10</xdr:col>
      <xdr:colOff>0</xdr:colOff>
      <xdr:row>62</xdr:row>
      <xdr:rowOff>152400</xdr:rowOff>
    </xdr:to>
    <xdr:graphicFrame>
      <xdr:nvGraphicFramePr>
        <xdr:cNvPr id="1" name="Chart 3"/>
        <xdr:cNvGraphicFramePr/>
      </xdr:nvGraphicFramePr>
      <xdr:xfrm>
        <a:off x="0" y="6877050"/>
        <a:ext cx="6477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95325" y="0"/>
          <a:ext cx="25908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5267325" y="0"/>
          <a:ext cx="1209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5276850" y="0"/>
          <a:ext cx="12001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0.35375</cdr:x>
      <cdr:y>0.86325</cdr:y>
    </cdr:from>
    <cdr:to>
      <cdr:x>0.951</cdr:x>
      <cdr:y>0.9315</cdr:y>
    </cdr:to>
    <cdr:sp>
      <cdr:nvSpPr>
        <cdr:cNvPr id="1" name="Texto 1"/>
        <cdr:cNvSpPr txBox="1">
          <a:spLocks noChangeArrowheads="1"/>
        </cdr:cNvSpPr>
      </cdr:nvSpPr>
      <cdr:spPr>
        <a:xfrm>
          <a:off x="2371725" y="2228850"/>
          <a:ext cx="4019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20             25          30                  40              50           60       70       80     90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" name="Line 9"/>
        <xdr:cNvSpPr>
          <a:spLocks/>
        </xdr:cNvSpPr>
      </xdr:nvSpPr>
      <xdr:spPr>
        <a:xfrm>
          <a:off x="695325" y="0"/>
          <a:ext cx="39624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3</xdr:col>
      <xdr:colOff>552450</xdr:colOff>
      <xdr:row>0</xdr:row>
      <xdr:rowOff>0</xdr:rowOff>
    </xdr:to>
    <xdr:sp>
      <xdr:nvSpPr>
        <xdr:cNvPr id="2" name="Line 10"/>
        <xdr:cNvSpPr>
          <a:spLocks/>
        </xdr:cNvSpPr>
      </xdr:nvSpPr>
      <xdr:spPr>
        <a:xfrm>
          <a:off x="704850" y="0"/>
          <a:ext cx="23907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11"/>
        <xdr:cNvSpPr>
          <a:spLocks/>
        </xdr:cNvSpPr>
      </xdr:nvSpPr>
      <xdr:spPr>
        <a:xfrm>
          <a:off x="5305425" y="0"/>
          <a:ext cx="1428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12"/>
        <xdr:cNvSpPr>
          <a:spLocks/>
        </xdr:cNvSpPr>
      </xdr:nvSpPr>
      <xdr:spPr>
        <a:xfrm>
          <a:off x="5314950" y="0"/>
          <a:ext cx="1419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17</xdr:row>
      <xdr:rowOff>85725</xdr:rowOff>
    </xdr:from>
    <xdr:to>
      <xdr:col>7</xdr:col>
      <xdr:colOff>47625</xdr:colOff>
      <xdr:row>33</xdr:row>
      <xdr:rowOff>85725</xdr:rowOff>
    </xdr:to>
    <xdr:graphicFrame>
      <xdr:nvGraphicFramePr>
        <xdr:cNvPr id="5" name="Chart 13"/>
        <xdr:cNvGraphicFramePr/>
      </xdr:nvGraphicFramePr>
      <xdr:xfrm>
        <a:off x="57150" y="2952750"/>
        <a:ext cx="67246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0.89775</cdr:y>
    </cdr:from>
    <cdr:to>
      <cdr:x>0.92375</cdr:x>
      <cdr:y>0.955</cdr:y>
    </cdr:to>
    <cdr:sp>
      <cdr:nvSpPr>
        <cdr:cNvPr id="1" name="Rectangle 1"/>
        <cdr:cNvSpPr>
          <a:spLocks/>
        </cdr:cNvSpPr>
      </cdr:nvSpPr>
      <cdr:spPr>
        <a:xfrm>
          <a:off x="704850" y="2905125"/>
          <a:ext cx="57150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</cdr:x>
      <cdr:y>0.89775</cdr:y>
    </cdr:from>
    <cdr:to>
      <cdr:x>0.29</cdr:x>
      <cdr:y>0.955</cdr:y>
    </cdr:to>
    <cdr:sp>
      <cdr:nvSpPr>
        <cdr:cNvPr id="2" name="Line 2"/>
        <cdr:cNvSpPr>
          <a:spLocks/>
        </cdr:cNvSpPr>
      </cdr:nvSpPr>
      <cdr:spPr>
        <a:xfrm>
          <a:off x="2009775" y="29051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</cdr:x>
      <cdr:y>0.92625</cdr:y>
    </cdr:from>
    <cdr:to>
      <cdr:x>0.92375</cdr:x>
      <cdr:y>0.92625</cdr:y>
    </cdr:to>
    <cdr:sp>
      <cdr:nvSpPr>
        <cdr:cNvPr id="3" name="Line 3"/>
        <cdr:cNvSpPr>
          <a:spLocks/>
        </cdr:cNvSpPr>
      </cdr:nvSpPr>
      <cdr:spPr>
        <a:xfrm flipH="1">
          <a:off x="2009775" y="2990850"/>
          <a:ext cx="441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0.44625</cdr:x>
      <cdr:y>0.89775</cdr:y>
    </cdr:from>
    <cdr:to>
      <cdr:x>0.44625</cdr:x>
      <cdr:y>0.92625</cdr:y>
    </cdr:to>
    <cdr:sp>
      <cdr:nvSpPr>
        <cdr:cNvPr id="4" name="Line 4"/>
        <cdr:cNvSpPr>
          <a:spLocks/>
        </cdr:cNvSpPr>
      </cdr:nvSpPr>
      <cdr:spPr>
        <a:xfrm>
          <a:off x="3095625" y="29051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0.587</cdr:x>
      <cdr:y>0.89775</cdr:y>
    </cdr:from>
    <cdr:to>
      <cdr:x>0.587</cdr:x>
      <cdr:y>0.929</cdr:y>
    </cdr:to>
    <cdr:sp>
      <cdr:nvSpPr>
        <cdr:cNvPr id="5" name="Line 5"/>
        <cdr:cNvSpPr>
          <a:spLocks/>
        </cdr:cNvSpPr>
      </cdr:nvSpPr>
      <cdr:spPr>
        <a:xfrm>
          <a:off x="4076700" y="29051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0.6655</cdr:x>
      <cdr:y>0.90025</cdr:y>
    </cdr:from>
    <cdr:to>
      <cdr:x>0.6655</cdr:x>
      <cdr:y>0.955</cdr:y>
    </cdr:to>
    <cdr:sp>
      <cdr:nvSpPr>
        <cdr:cNvPr id="6" name="Line 6"/>
        <cdr:cNvSpPr>
          <a:spLocks/>
        </cdr:cNvSpPr>
      </cdr:nvSpPr>
      <cdr:spPr>
        <a:xfrm>
          <a:off x="4619625" y="29146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0.7905</cdr:x>
      <cdr:y>0.89775</cdr:y>
    </cdr:from>
    <cdr:to>
      <cdr:x>0.7905</cdr:x>
      <cdr:y>0.92625</cdr:y>
    </cdr:to>
    <cdr:sp>
      <cdr:nvSpPr>
        <cdr:cNvPr id="7" name="Line 7"/>
        <cdr:cNvSpPr>
          <a:spLocks/>
        </cdr:cNvSpPr>
      </cdr:nvSpPr>
      <cdr:spPr>
        <a:xfrm>
          <a:off x="5495925" y="29051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0.13625</cdr:x>
      <cdr:y>0.9105</cdr:y>
    </cdr:from>
    <cdr:to>
      <cdr:x>0.3285</cdr:x>
      <cdr:y>0.97175</cdr:y>
    </cdr:to>
    <cdr:sp>
      <cdr:nvSpPr>
        <cdr:cNvPr id="8" name="Texto 8"/>
        <cdr:cNvSpPr txBox="1">
          <a:spLocks noChangeArrowheads="1"/>
        </cdr:cNvSpPr>
      </cdr:nvSpPr>
      <cdr:spPr>
        <a:xfrm>
          <a:off x="942975" y="2943225"/>
          <a:ext cx="1333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 y Arcilla</a:t>
          </a:r>
        </a:p>
      </cdr:txBody>
    </cdr:sp>
  </cdr:relSizeAnchor>
  <cdr:relSizeAnchor xmlns:cdr="http://schemas.openxmlformats.org/drawingml/2006/chartDrawing">
    <cdr:from>
      <cdr:x>0.345</cdr:x>
      <cdr:y>0.892</cdr:y>
    </cdr:from>
    <cdr:to>
      <cdr:x>0.41675</cdr:x>
      <cdr:y>0.93475</cdr:y>
    </cdr:to>
    <cdr:sp>
      <cdr:nvSpPr>
        <cdr:cNvPr id="9" name="Texto 9"/>
        <cdr:cNvSpPr txBox="1">
          <a:spLocks noChangeArrowheads="1"/>
        </cdr:cNvSpPr>
      </cdr:nvSpPr>
      <cdr:spPr>
        <a:xfrm>
          <a:off x="2390775" y="2886075"/>
          <a:ext cx="4953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</a:t>
          </a:r>
        </a:p>
      </cdr:txBody>
    </cdr:sp>
  </cdr:relSizeAnchor>
  <cdr:relSizeAnchor xmlns:cdr="http://schemas.openxmlformats.org/drawingml/2006/chartDrawing">
    <cdr:from>
      <cdr:x>0.45525</cdr:x>
      <cdr:y>0.9195</cdr:y>
    </cdr:from>
    <cdr:to>
      <cdr:x>0.5525</cdr:x>
      <cdr:y>0.96725</cdr:y>
    </cdr:to>
    <cdr:sp>
      <cdr:nvSpPr>
        <cdr:cNvPr id="10" name="Texto 10"/>
        <cdr:cNvSpPr txBox="1">
          <a:spLocks noChangeArrowheads="1"/>
        </cdr:cNvSpPr>
      </cdr:nvSpPr>
      <cdr:spPr>
        <a:xfrm>
          <a:off x="3162300" y="297180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Arena</a:t>
          </a:r>
        </a:p>
      </cdr:txBody>
    </cdr:sp>
  </cdr:relSizeAnchor>
  <cdr:relSizeAnchor xmlns:cdr="http://schemas.openxmlformats.org/drawingml/2006/chartDrawing">
    <cdr:from>
      <cdr:x>0.7685</cdr:x>
      <cdr:y>0.92225</cdr:y>
    </cdr:from>
    <cdr:to>
      <cdr:x>0.86175</cdr:x>
      <cdr:y>0.97525</cdr:y>
    </cdr:to>
    <cdr:sp>
      <cdr:nvSpPr>
        <cdr:cNvPr id="11" name="Texto 11"/>
        <cdr:cNvSpPr txBox="1">
          <a:spLocks noChangeArrowheads="1"/>
        </cdr:cNvSpPr>
      </cdr:nvSpPr>
      <cdr:spPr>
        <a:xfrm>
          <a:off x="5343525" y="2981325"/>
          <a:ext cx="647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0.263</cdr:x>
      <cdr:y>0.86025</cdr:y>
    </cdr:from>
    <cdr:to>
      <cdr:x>0.35625</cdr:x>
      <cdr:y>0.93475</cdr:y>
    </cdr:to>
    <cdr:sp>
      <cdr:nvSpPr>
        <cdr:cNvPr id="12" name="Texto 12"/>
        <cdr:cNvSpPr txBox="1">
          <a:spLocks noChangeArrowheads="1"/>
        </cdr:cNvSpPr>
      </cdr:nvSpPr>
      <cdr:spPr>
        <a:xfrm>
          <a:off x="1819275" y="2781300"/>
          <a:ext cx="6477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0.075 </a:t>
          </a:r>
        </a:p>
      </cdr:txBody>
    </cdr:sp>
  </cdr:relSizeAnchor>
  <cdr:relSizeAnchor xmlns:cdr="http://schemas.openxmlformats.org/drawingml/2006/chartDrawing">
    <cdr:from>
      <cdr:x>0.49125</cdr:x>
      <cdr:y>0.89275</cdr:y>
    </cdr:from>
    <cdr:to>
      <cdr:x>0.58275</cdr:x>
      <cdr:y>0.954</cdr:y>
    </cdr:to>
    <cdr:sp>
      <cdr:nvSpPr>
        <cdr:cNvPr id="13" name="Texto 13"/>
        <cdr:cNvSpPr txBox="1">
          <a:spLocks noChangeArrowheads="1"/>
        </cdr:cNvSpPr>
      </cdr:nvSpPr>
      <cdr:spPr>
        <a:xfrm>
          <a:off x="3409950" y="2886075"/>
          <a:ext cx="638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Media</a:t>
          </a:r>
        </a:p>
      </cdr:txBody>
    </cdr:sp>
  </cdr:relSizeAnchor>
  <cdr:relSizeAnchor xmlns:cdr="http://schemas.openxmlformats.org/drawingml/2006/chartDrawing">
    <cdr:from>
      <cdr:x>0.5985</cdr:x>
      <cdr:y>0.891</cdr:y>
    </cdr:from>
    <cdr:to>
      <cdr:x>0.703</cdr:x>
      <cdr:y>0.9415</cdr:y>
    </cdr:to>
    <cdr:sp>
      <cdr:nvSpPr>
        <cdr:cNvPr id="14" name="Texto 14"/>
        <cdr:cNvSpPr txBox="1">
          <a:spLocks noChangeArrowheads="1"/>
        </cdr:cNvSpPr>
      </cdr:nvSpPr>
      <cdr:spPr>
        <a:xfrm>
          <a:off x="4152900" y="2876550"/>
          <a:ext cx="7239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0.71125</cdr:x>
      <cdr:y>0.893</cdr:y>
    </cdr:from>
    <cdr:to>
      <cdr:x>0.78325</cdr:x>
      <cdr:y>0.95425</cdr:y>
    </cdr:to>
    <cdr:sp>
      <cdr:nvSpPr>
        <cdr:cNvPr id="15" name="Texto 15"/>
        <cdr:cNvSpPr txBox="1">
          <a:spLocks noChangeArrowheads="1"/>
        </cdr:cNvSpPr>
      </cdr:nvSpPr>
      <cdr:spPr>
        <a:xfrm>
          <a:off x="4943475" y="2886075"/>
          <a:ext cx="5048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   </a:t>
          </a:r>
        </a:p>
      </cdr:txBody>
    </cdr:sp>
  </cdr:relSizeAnchor>
  <cdr:relSizeAnchor xmlns:cdr="http://schemas.openxmlformats.org/drawingml/2006/chartDrawing">
    <cdr:from>
      <cdr:x>0.8265</cdr:x>
      <cdr:y>0.893</cdr:y>
    </cdr:from>
    <cdr:to>
      <cdr:x>0.92375</cdr:x>
      <cdr:y>0.96225</cdr:y>
    </cdr:to>
    <cdr:sp>
      <cdr:nvSpPr>
        <cdr:cNvPr id="16" name="Texto 16"/>
        <cdr:cNvSpPr txBox="1">
          <a:spLocks noChangeArrowheads="1"/>
        </cdr:cNvSpPr>
      </cdr:nvSpPr>
      <cdr:spPr>
        <a:xfrm>
          <a:off x="5743575" y="2886075"/>
          <a:ext cx="6762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0.41925</cdr:x>
      <cdr:y>0.8575</cdr:y>
    </cdr:from>
    <cdr:to>
      <cdr:x>0.51175</cdr:x>
      <cdr:y>0.911</cdr:y>
    </cdr:to>
    <cdr:sp>
      <cdr:nvSpPr>
        <cdr:cNvPr id="17" name="Texto 17"/>
        <cdr:cNvSpPr txBox="1">
          <a:spLocks noChangeArrowheads="1"/>
        </cdr:cNvSpPr>
      </cdr:nvSpPr>
      <cdr:spPr>
        <a:xfrm>
          <a:off x="2914650" y="2771775"/>
          <a:ext cx="647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0.425</a:t>
          </a:r>
        </a:p>
      </cdr:txBody>
    </cdr:sp>
  </cdr:relSizeAnchor>
  <cdr:relSizeAnchor xmlns:cdr="http://schemas.openxmlformats.org/drawingml/2006/chartDrawing">
    <cdr:from>
      <cdr:x>0.569</cdr:x>
      <cdr:y>0.859</cdr:y>
    </cdr:from>
    <cdr:to>
      <cdr:x>0.66125</cdr:x>
      <cdr:y>0.90425</cdr:y>
    </cdr:to>
    <cdr:sp>
      <cdr:nvSpPr>
        <cdr:cNvPr id="18" name="Texto 18"/>
        <cdr:cNvSpPr txBox="1">
          <a:spLocks noChangeArrowheads="1"/>
        </cdr:cNvSpPr>
      </cdr:nvSpPr>
      <cdr:spPr>
        <a:xfrm>
          <a:off x="3952875" y="2781300"/>
          <a:ext cx="6381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2.00</a:t>
          </a:r>
        </a:p>
      </cdr:txBody>
    </cdr:sp>
  </cdr:relSizeAnchor>
  <cdr:relSizeAnchor xmlns:cdr="http://schemas.openxmlformats.org/drawingml/2006/chartDrawing">
    <cdr:from>
      <cdr:x>0.649</cdr:x>
      <cdr:y>0.86025</cdr:y>
    </cdr:from>
    <cdr:to>
      <cdr:x>0.70875</cdr:x>
      <cdr:y>0.92925</cdr:y>
    </cdr:to>
    <cdr:sp>
      <cdr:nvSpPr>
        <cdr:cNvPr id="19" name="Texto 19"/>
        <cdr:cNvSpPr txBox="1">
          <a:spLocks noChangeArrowheads="1"/>
        </cdr:cNvSpPr>
      </cdr:nvSpPr>
      <cdr:spPr>
        <a:xfrm>
          <a:off x="4505325" y="2781300"/>
          <a:ext cx="419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4.75</a:t>
          </a:r>
        </a:p>
      </cdr:txBody>
    </cdr:sp>
  </cdr:relSizeAnchor>
  <cdr:relSizeAnchor xmlns:cdr="http://schemas.openxmlformats.org/drawingml/2006/chartDrawing">
    <cdr:from>
      <cdr:x>0.7685</cdr:x>
      <cdr:y>0.86025</cdr:y>
    </cdr:from>
    <cdr:to>
      <cdr:x>0.86</cdr:x>
      <cdr:y>0.92925</cdr:y>
    </cdr:to>
    <cdr:sp>
      <cdr:nvSpPr>
        <cdr:cNvPr id="20" name="Texto 20"/>
        <cdr:cNvSpPr txBox="1">
          <a:spLocks noChangeArrowheads="1"/>
        </cdr:cNvSpPr>
      </cdr:nvSpPr>
      <cdr:spPr>
        <a:xfrm>
          <a:off x="5343525" y="2781300"/>
          <a:ext cx="638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19.00</a:t>
          </a:r>
        </a:p>
      </cdr:txBody>
    </cdr:sp>
  </cdr:relSizeAnchor>
  <cdr:relSizeAnchor xmlns:cdr="http://schemas.openxmlformats.org/drawingml/2006/chartDrawing">
    <cdr:from>
      <cdr:x>0.89925</cdr:x>
      <cdr:y>0.86025</cdr:y>
    </cdr:from>
    <cdr:to>
      <cdr:x>0.9875</cdr:x>
      <cdr:y>0.9215</cdr:y>
    </cdr:to>
    <cdr:sp>
      <cdr:nvSpPr>
        <cdr:cNvPr id="21" name="Texto 21"/>
        <cdr:cNvSpPr txBox="1">
          <a:spLocks noChangeArrowheads="1"/>
        </cdr:cNvSpPr>
      </cdr:nvSpPr>
      <cdr:spPr>
        <a:xfrm>
          <a:off x="6248400" y="2781300"/>
          <a:ext cx="609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75.00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0.61325</cdr:x>
      <cdr:y>0.20975</cdr:y>
    </cdr:from>
    <cdr:to>
      <cdr:x>0.732</cdr:x>
      <cdr:y>0.29075</cdr:y>
    </cdr:to>
    <cdr:sp>
      <cdr:nvSpPr>
        <cdr:cNvPr id="1" name="Texto 1"/>
        <cdr:cNvSpPr txBox="1">
          <a:spLocks noChangeArrowheads="1"/>
        </cdr:cNvSpPr>
      </cdr:nvSpPr>
      <cdr:spPr>
        <a:xfrm>
          <a:off x="2305050" y="542925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CH-OH</a:t>
          </a:r>
        </a:p>
      </cdr:txBody>
    </cdr:sp>
  </cdr:relSizeAnchor>
  <cdr:relSizeAnchor xmlns:cdr="http://schemas.openxmlformats.org/drawingml/2006/chartDrawing">
    <cdr:from>
      <cdr:x>0.65525</cdr:x>
      <cdr:y>0.4555</cdr:y>
    </cdr:from>
    <cdr:to>
      <cdr:x>0.91425</cdr:x>
      <cdr:y>0.56875</cdr:y>
    </cdr:to>
    <cdr:sp>
      <cdr:nvSpPr>
        <cdr:cNvPr id="2" name="Texto 2"/>
        <cdr:cNvSpPr txBox="1">
          <a:spLocks noChangeArrowheads="1"/>
        </cdr:cNvSpPr>
      </cdr:nvSpPr>
      <cdr:spPr>
        <a:xfrm>
          <a:off x="2466975" y="1171575"/>
          <a:ext cx="9810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0.62825</cdr:x>
      <cdr:y>0.5365</cdr:y>
    </cdr:from>
    <cdr:to>
      <cdr:x>0.75975</cdr:x>
      <cdr:y>0.60925</cdr:y>
    </cdr:to>
    <cdr:sp>
      <cdr:nvSpPr>
        <cdr:cNvPr id="3" name="Texto 3"/>
        <cdr:cNvSpPr txBox="1">
          <a:spLocks noChangeArrowheads="1"/>
        </cdr:cNvSpPr>
      </cdr:nvSpPr>
      <cdr:spPr>
        <a:xfrm>
          <a:off x="2362200" y="1381125"/>
          <a:ext cx="495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MH-OH</a:t>
          </a:r>
        </a:p>
      </cdr:txBody>
    </cdr:sp>
  </cdr:relSizeAnchor>
  <cdr:relSizeAnchor xmlns:cdr="http://schemas.openxmlformats.org/drawingml/2006/chartDrawing">
    <cdr:from>
      <cdr:x>0.3805</cdr:x>
      <cdr:y>0.55525</cdr:y>
    </cdr:from>
    <cdr:to>
      <cdr:x>0.4965</cdr:x>
      <cdr:y>0.628</cdr:y>
    </cdr:to>
    <cdr:sp>
      <cdr:nvSpPr>
        <cdr:cNvPr id="4" name="Texto 4"/>
        <cdr:cNvSpPr txBox="1">
          <a:spLocks noChangeArrowheads="1"/>
        </cdr:cNvSpPr>
      </cdr:nvSpPr>
      <cdr:spPr>
        <a:xfrm>
          <a:off x="1428750" y="1438275"/>
          <a:ext cx="438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CL-OL</a:t>
          </a:r>
        </a:p>
      </cdr:txBody>
    </cdr:sp>
  </cdr:relSizeAnchor>
  <cdr:relSizeAnchor xmlns:cdr="http://schemas.openxmlformats.org/drawingml/2006/chartDrawing">
    <cdr:from>
      <cdr:x>0.39875</cdr:x>
      <cdr:y>0.71175</cdr:y>
    </cdr:from>
    <cdr:to>
      <cdr:x>0.51475</cdr:x>
      <cdr:y>0.7845</cdr:y>
    </cdr:to>
    <cdr:sp>
      <cdr:nvSpPr>
        <cdr:cNvPr id="5" name="Texto 5"/>
        <cdr:cNvSpPr txBox="1">
          <a:spLocks noChangeArrowheads="1"/>
        </cdr:cNvSpPr>
      </cdr:nvSpPr>
      <cdr:spPr>
        <a:xfrm>
          <a:off x="1495425" y="1838325"/>
          <a:ext cx="438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ML-OL</a:t>
          </a:r>
        </a:p>
      </cdr:txBody>
    </cdr:sp>
  </cdr:relSizeAnchor>
  <cdr:relSizeAnchor xmlns:cdr="http://schemas.openxmlformats.org/drawingml/2006/chartDrawing">
    <cdr:from>
      <cdr:x>0.18875</cdr:x>
      <cdr:y>0.73575</cdr:y>
    </cdr:from>
    <cdr:to>
      <cdr:x>0.30475</cdr:x>
      <cdr:y>0.79275</cdr:y>
    </cdr:to>
    <cdr:sp>
      <cdr:nvSpPr>
        <cdr:cNvPr id="6" name="Texto 6"/>
        <cdr:cNvSpPr txBox="1">
          <a:spLocks noChangeArrowheads="1"/>
        </cdr:cNvSpPr>
      </cdr:nvSpPr>
      <cdr:spPr>
        <a:xfrm>
          <a:off x="704850" y="1905000"/>
          <a:ext cx="4381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CL-ML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0.87975</cdr:y>
    </cdr:from>
    <cdr:to>
      <cdr:x>0.5295</cdr:x>
      <cdr:y>0.96275</cdr:y>
    </cdr:to>
    <cdr:sp>
      <cdr:nvSpPr>
        <cdr:cNvPr id="1" name="Texto 1"/>
        <cdr:cNvSpPr txBox="1">
          <a:spLocks noChangeArrowheads="1"/>
        </cdr:cNvSpPr>
      </cdr:nvSpPr>
      <cdr:spPr>
        <a:xfrm>
          <a:off x="1733550" y="2257425"/>
          <a:ext cx="2667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152400</xdr:rowOff>
    </xdr:from>
    <xdr:to>
      <xdr:col>0</xdr:col>
      <xdr:colOff>438150</xdr:colOff>
      <xdr:row>29</xdr:row>
      <xdr:rowOff>142875</xdr:rowOff>
    </xdr:to>
    <xdr:sp>
      <xdr:nvSpPr>
        <xdr:cNvPr id="1" name="Texto 3"/>
        <xdr:cNvSpPr txBox="1">
          <a:spLocks noChangeArrowheads="1"/>
        </xdr:cNvSpPr>
      </xdr:nvSpPr>
      <xdr:spPr>
        <a:xfrm>
          <a:off x="95250" y="2695575"/>
          <a:ext cx="342900" cy="1933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ANALISIS GRANULOMETRICO POR TAMIZADO
</a:t>
          </a:r>
        </a:p>
      </xdr:txBody>
    </xdr:sp>
    <xdr:clientData/>
  </xdr:twoCellAnchor>
  <xdr:twoCellAnchor>
    <xdr:from>
      <xdr:col>1</xdr:col>
      <xdr:colOff>142875</xdr:colOff>
      <xdr:row>17</xdr:row>
      <xdr:rowOff>66675</xdr:rowOff>
    </xdr:from>
    <xdr:to>
      <xdr:col>1</xdr:col>
      <xdr:colOff>390525</xdr:colOff>
      <xdr:row>27</xdr:row>
      <xdr:rowOff>133350</xdr:rowOff>
    </xdr:to>
    <xdr:sp>
      <xdr:nvSpPr>
        <xdr:cNvPr id="2" name="Texto 4"/>
        <xdr:cNvSpPr txBox="1">
          <a:spLocks noChangeArrowheads="1"/>
        </xdr:cNvSpPr>
      </xdr:nvSpPr>
      <xdr:spPr>
        <a:xfrm>
          <a:off x="657225" y="2609850"/>
          <a:ext cx="247650" cy="1685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ACUMULADO QUE PASA</a:t>
          </a:r>
        </a:p>
      </xdr:txBody>
    </xdr:sp>
    <xdr:clientData/>
  </xdr:twoCellAnchor>
  <xdr:twoCellAnchor>
    <xdr:from>
      <xdr:col>2</xdr:col>
      <xdr:colOff>638175</xdr:colOff>
      <xdr:row>16</xdr:row>
      <xdr:rowOff>0</xdr:rowOff>
    </xdr:from>
    <xdr:to>
      <xdr:col>2</xdr:col>
      <xdr:colOff>638175</xdr:colOff>
      <xdr:row>32</xdr:row>
      <xdr:rowOff>0</xdr:rowOff>
    </xdr:to>
    <xdr:sp>
      <xdr:nvSpPr>
        <xdr:cNvPr id="3" name="Line 5"/>
        <xdr:cNvSpPr>
          <a:spLocks/>
        </xdr:cNvSpPr>
      </xdr:nvSpPr>
      <xdr:spPr>
        <a:xfrm>
          <a:off x="1666875" y="2381250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704850</xdr:colOff>
      <xdr:row>63</xdr:row>
      <xdr:rowOff>0</xdr:rowOff>
    </xdr:to>
    <xdr:graphicFrame>
      <xdr:nvGraphicFramePr>
        <xdr:cNvPr id="4" name="Chart 12"/>
        <xdr:cNvGraphicFramePr/>
      </xdr:nvGraphicFramePr>
      <xdr:xfrm>
        <a:off x="0" y="6753225"/>
        <a:ext cx="69532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31</xdr:row>
      <xdr:rowOff>152400</xdr:rowOff>
    </xdr:to>
    <xdr:sp>
      <xdr:nvSpPr>
        <xdr:cNvPr id="5" name="Line 15"/>
        <xdr:cNvSpPr>
          <a:spLocks/>
        </xdr:cNvSpPr>
      </xdr:nvSpPr>
      <xdr:spPr>
        <a:xfrm>
          <a:off x="2638425" y="44862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26</xdr:row>
      <xdr:rowOff>0</xdr:rowOff>
    </xdr:from>
    <xdr:to>
      <xdr:col>10</xdr:col>
      <xdr:colOff>704850</xdr:colOff>
      <xdr:row>42</xdr:row>
      <xdr:rowOff>0</xdr:rowOff>
    </xdr:to>
    <xdr:graphicFrame>
      <xdr:nvGraphicFramePr>
        <xdr:cNvPr id="6" name="Chart 17"/>
        <xdr:cNvGraphicFramePr/>
      </xdr:nvGraphicFramePr>
      <xdr:xfrm>
        <a:off x="3181350" y="4000500"/>
        <a:ext cx="37719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161925</xdr:colOff>
      <xdr:row>8</xdr:row>
      <xdr:rowOff>57150</xdr:rowOff>
    </xdr:from>
    <xdr:to>
      <xdr:col>10</xdr:col>
      <xdr:colOff>704850</xdr:colOff>
      <xdr:row>24</xdr:row>
      <xdr:rowOff>142875</xdr:rowOff>
    </xdr:to>
    <xdr:graphicFrame>
      <xdr:nvGraphicFramePr>
        <xdr:cNvPr id="7" name="Chart 18"/>
        <xdr:cNvGraphicFramePr/>
      </xdr:nvGraphicFramePr>
      <xdr:xfrm>
        <a:off x="3181350" y="1247775"/>
        <a:ext cx="37719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33.7109375" style="14" customWidth="1"/>
    <col min="2" max="2" width="5.7109375" style="14" customWidth="1"/>
    <col min="3" max="3" width="60.7109375" style="14" customWidth="1"/>
    <col min="4" max="4" width="30.7109375" style="14" customWidth="1"/>
    <col min="5" max="16384" width="11.421875" style="14" customWidth="1"/>
  </cols>
  <sheetData>
    <row r="1" spans="1:4" s="42" customFormat="1" ht="12.75" customHeight="1" thickBot="1">
      <c r="A1" s="219" t="s">
        <v>0</v>
      </c>
      <c r="B1" s="220"/>
      <c r="C1" s="322"/>
      <c r="D1" s="27"/>
    </row>
    <row r="2" spans="1:4" s="42" customFormat="1" ht="12.75" customHeight="1">
      <c r="A2" s="116" t="s">
        <v>1</v>
      </c>
      <c r="B2" s="69"/>
      <c r="C2" s="318" t="s">
        <v>123</v>
      </c>
      <c r="D2" s="323"/>
    </row>
    <row r="3" spans="1:4" s="42" customFormat="1" ht="12.75" customHeight="1">
      <c r="A3" s="221" t="s">
        <v>2</v>
      </c>
      <c r="B3" s="68"/>
      <c r="C3" s="327" t="s">
        <v>125</v>
      </c>
      <c r="D3" s="306"/>
    </row>
    <row r="4" spans="1:4" s="42" customFormat="1" ht="12.75" customHeight="1">
      <c r="A4" s="67" t="s">
        <v>3</v>
      </c>
      <c r="B4" s="68"/>
      <c r="C4" s="315" t="s">
        <v>120</v>
      </c>
      <c r="D4" s="307"/>
    </row>
    <row r="5" spans="1:4" s="42" customFormat="1" ht="12.75" customHeight="1">
      <c r="A5" s="67" t="s">
        <v>4</v>
      </c>
      <c r="B5" s="68"/>
      <c r="C5" s="315" t="s">
        <v>121</v>
      </c>
      <c r="D5" s="307"/>
    </row>
    <row r="6" spans="1:4" s="42" customFormat="1" ht="12.75" customHeight="1">
      <c r="A6" s="67" t="s">
        <v>5</v>
      </c>
      <c r="B6" s="68"/>
      <c r="C6" s="315" t="s">
        <v>122</v>
      </c>
      <c r="D6" s="307"/>
    </row>
    <row r="7" spans="1:4" s="42" customFormat="1" ht="12.75" customHeight="1" thickBot="1">
      <c r="A7" s="158" t="s">
        <v>6</v>
      </c>
      <c r="B7" s="9"/>
      <c r="C7" s="319" t="s">
        <v>118</v>
      </c>
      <c r="D7" s="308"/>
    </row>
    <row r="8" spans="1:4" s="42" customFormat="1" ht="12.75" customHeight="1" thickBot="1">
      <c r="A8" s="79"/>
      <c r="B8" s="19"/>
      <c r="C8" s="218"/>
      <c r="D8" s="218"/>
    </row>
    <row r="9" spans="1:4" s="42" customFormat="1" ht="12.75" customHeight="1" thickBot="1">
      <c r="A9" s="72" t="s">
        <v>7</v>
      </c>
      <c r="B9" s="32"/>
      <c r="C9" s="322"/>
      <c r="D9" s="27"/>
    </row>
    <row r="10" spans="1:4" s="42" customFormat="1" ht="12.75" customHeight="1">
      <c r="A10" s="313" t="s">
        <v>8</v>
      </c>
      <c r="B10" s="297"/>
      <c r="C10" s="320" t="s">
        <v>128</v>
      </c>
      <c r="D10" s="309"/>
    </row>
    <row r="11" spans="1:4" s="42" customFormat="1" ht="12.75" customHeight="1">
      <c r="A11" s="221" t="s">
        <v>9</v>
      </c>
      <c r="B11" s="66"/>
      <c r="C11" s="316" t="s">
        <v>117</v>
      </c>
      <c r="D11" s="310"/>
    </row>
    <row r="12" spans="1:4" s="42" customFormat="1" ht="12.75" customHeight="1">
      <c r="A12" s="314" t="s">
        <v>10</v>
      </c>
      <c r="B12" s="66"/>
      <c r="C12" s="317" t="s">
        <v>119</v>
      </c>
      <c r="D12" s="310"/>
    </row>
    <row r="13" spans="1:4" s="42" customFormat="1" ht="12.75" customHeight="1">
      <c r="A13" s="221" t="s">
        <v>11</v>
      </c>
      <c r="B13" s="66" t="s">
        <v>12</v>
      </c>
      <c r="C13" s="316">
        <v>2.1</v>
      </c>
      <c r="D13" s="311"/>
    </row>
    <row r="14" spans="1:4" s="42" customFormat="1" ht="12.75" customHeight="1">
      <c r="A14" s="221" t="s">
        <v>13</v>
      </c>
      <c r="B14" s="66" t="s">
        <v>12</v>
      </c>
      <c r="C14" s="316">
        <v>3</v>
      </c>
      <c r="D14" s="311"/>
    </row>
    <row r="15" spans="1:4" s="42" customFormat="1" ht="12.75" customHeight="1">
      <c r="A15" s="222" t="s">
        <v>14</v>
      </c>
      <c r="B15" s="223"/>
      <c r="C15" s="316" t="s">
        <v>126</v>
      </c>
      <c r="D15" s="311"/>
    </row>
    <row r="16" spans="1:4" s="42" customFormat="1" ht="12.75" customHeight="1">
      <c r="A16" s="222"/>
      <c r="B16" s="223"/>
      <c r="C16" s="316" t="s">
        <v>127</v>
      </c>
      <c r="D16" s="311"/>
    </row>
    <row r="17" spans="1:4" s="42" customFormat="1" ht="12.75" customHeight="1" thickBot="1">
      <c r="A17" s="118"/>
      <c r="B17" s="169"/>
      <c r="C17" s="321"/>
      <c r="D17" s="312"/>
    </row>
    <row r="18" s="45" customFormat="1" ht="12.75" customHeight="1"/>
    <row r="19" s="42" customFormat="1" ht="12.75" customHeight="1"/>
    <row r="20" s="42" customFormat="1" ht="12.75" customHeight="1"/>
    <row r="21" s="42" customFormat="1" ht="12.75" customHeight="1"/>
    <row r="22" s="42" customFormat="1" ht="12.75" customHeight="1"/>
    <row r="23" s="42" customFormat="1" ht="12.75"/>
  </sheetData>
  <sheetProtection password="C8FD" sheet="1" objects="1" scenarios="1"/>
  <printOptions/>
  <pageMargins left="0.5511811023622047" right="0.75" top="0.5905511811023623" bottom="1.1811023622047245" header="0" footer="0"/>
  <pageSetup blackAndWhite="1" firstPageNumber="1" useFirstPageNumber="1"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42"/>
  <sheetViews>
    <sheetView zoomScalePageLayoutView="0" workbookViewId="0" topLeftCell="A11">
      <selection activeCell="J19" sqref="J19"/>
    </sheetView>
  </sheetViews>
  <sheetFormatPr defaultColWidth="11.421875" defaultRowHeight="12.75"/>
  <cols>
    <col min="1" max="1" width="3.7109375" style="3" customWidth="1"/>
    <col min="2" max="2" width="6.7109375" style="0" customWidth="1"/>
    <col min="3" max="4" width="10.7109375" style="3" customWidth="1"/>
    <col min="5" max="5" width="3.7109375" style="3" customWidth="1"/>
    <col min="6" max="6" width="19.7109375" style="3" customWidth="1"/>
    <col min="7" max="7" width="2.7109375" style="3" customWidth="1"/>
    <col min="8" max="8" width="11.7109375" style="3" customWidth="1"/>
    <col min="9" max="10" width="13.7109375" style="3" customWidth="1"/>
    <col min="11" max="11" width="5.7109375" style="3" customWidth="1"/>
    <col min="12" max="14" width="12.7109375" style="3" customWidth="1"/>
    <col min="15" max="17" width="11.421875" style="3" customWidth="1"/>
  </cols>
  <sheetData>
    <row r="1" spans="1:17" s="14" customFormat="1" ht="15.75" customHeight="1" thickBot="1">
      <c r="A1" s="41" t="s">
        <v>16</v>
      </c>
      <c r="C1" s="80"/>
      <c r="D1" s="44"/>
      <c r="E1" s="44"/>
      <c r="F1" s="44"/>
      <c r="G1" s="44"/>
      <c r="H1" s="44" t="s">
        <v>17</v>
      </c>
      <c r="I1" s="42"/>
      <c r="J1" s="96" t="s">
        <v>2</v>
      </c>
      <c r="K1" s="42"/>
      <c r="L1" s="42"/>
      <c r="M1" s="42"/>
      <c r="N1" s="42"/>
      <c r="O1" s="42"/>
      <c r="P1" s="42"/>
      <c r="Q1" s="42"/>
    </row>
    <row r="2" spans="1:17" s="14" customFormat="1" ht="15.75" customHeight="1" thickBot="1">
      <c r="A2" s="41" t="s">
        <v>18</v>
      </c>
      <c r="C2" s="80"/>
      <c r="D2" s="80"/>
      <c r="E2" s="80"/>
      <c r="F2" s="80"/>
      <c r="G2" s="80"/>
      <c r="H2" s="44" t="s">
        <v>19</v>
      </c>
      <c r="I2" s="42"/>
      <c r="J2" s="97" t="str">
        <f>DATOS!C3</f>
        <v>C1-M1</v>
      </c>
      <c r="K2" s="42"/>
      <c r="L2" s="42"/>
      <c r="M2" s="42"/>
      <c r="N2" s="42"/>
      <c r="O2" s="42"/>
      <c r="P2" s="42"/>
      <c r="Q2" s="42"/>
    </row>
    <row r="3" spans="1:17" s="12" customFormat="1" ht="12.75" customHeight="1">
      <c r="A3" s="42"/>
      <c r="C3" s="42"/>
      <c r="D3" s="42"/>
      <c r="E3" s="42"/>
      <c r="F3" s="42"/>
      <c r="G3" s="42"/>
      <c r="H3" s="42"/>
      <c r="I3" s="42"/>
      <c r="J3" s="81"/>
      <c r="K3" s="81"/>
      <c r="L3" s="42"/>
      <c r="M3" s="42"/>
      <c r="N3" s="42"/>
      <c r="O3" s="42"/>
      <c r="P3" s="42"/>
      <c r="Q3" s="42"/>
    </row>
    <row r="4" spans="1:17" s="12" customFormat="1" ht="12.75" customHeight="1" thickBot="1">
      <c r="A4" s="42"/>
      <c r="C4" s="42"/>
      <c r="D4" s="42"/>
      <c r="E4" s="42"/>
      <c r="F4" s="42"/>
      <c r="G4" s="42"/>
      <c r="H4" s="42"/>
      <c r="I4" s="42"/>
      <c r="J4" s="81"/>
      <c r="K4" s="81"/>
      <c r="L4" s="42"/>
      <c r="M4" s="42"/>
      <c r="N4" s="42"/>
      <c r="O4" s="42"/>
      <c r="P4" s="42"/>
      <c r="Q4" s="42"/>
    </row>
    <row r="5" spans="1:17" s="12" customFormat="1" ht="12.75" customHeight="1" thickBot="1">
      <c r="A5" s="72" t="s">
        <v>20</v>
      </c>
      <c r="B5" s="50"/>
      <c r="C5" s="49"/>
      <c r="D5" s="49"/>
      <c r="E5" s="49"/>
      <c r="F5" s="326"/>
      <c r="G5" s="79"/>
      <c r="H5" s="42"/>
      <c r="I5" s="22"/>
      <c r="J5" s="82"/>
      <c r="K5" s="81"/>
      <c r="L5" s="42"/>
      <c r="M5" s="42"/>
      <c r="N5" s="42"/>
      <c r="O5" s="42"/>
      <c r="P5" s="42"/>
      <c r="Q5" s="42"/>
    </row>
    <row r="6" spans="1:17" s="12" customFormat="1" ht="12.75" customHeight="1">
      <c r="A6" s="89">
        <v>1</v>
      </c>
      <c r="B6" s="75" t="s">
        <v>21</v>
      </c>
      <c r="C6" s="92"/>
      <c r="D6" s="93"/>
      <c r="E6" s="94"/>
      <c r="F6" s="24" t="s">
        <v>124</v>
      </c>
      <c r="G6" s="83"/>
      <c r="H6" s="42"/>
      <c r="I6" s="22"/>
      <c r="J6" s="82"/>
      <c r="K6" s="81"/>
      <c r="L6" s="42"/>
      <c r="M6" s="42"/>
      <c r="N6" s="42"/>
      <c r="O6" s="42"/>
      <c r="P6" s="42"/>
      <c r="Q6" s="42"/>
    </row>
    <row r="7" spans="1:17" s="12" customFormat="1" ht="12.75" customHeight="1">
      <c r="A7" s="90">
        <v>2</v>
      </c>
      <c r="B7" s="59" t="s">
        <v>22</v>
      </c>
      <c r="C7" s="62"/>
      <c r="D7" s="95"/>
      <c r="E7" s="68" t="s">
        <v>23</v>
      </c>
      <c r="F7" s="35">
        <v>638</v>
      </c>
      <c r="G7" s="20"/>
      <c r="H7" s="42"/>
      <c r="I7" s="22"/>
      <c r="J7" s="82"/>
      <c r="K7" s="81"/>
      <c r="L7" s="42"/>
      <c r="M7" s="42"/>
      <c r="N7" s="42"/>
      <c r="O7" s="42"/>
      <c r="P7" s="42"/>
      <c r="Q7" s="42"/>
    </row>
    <row r="8" spans="1:17" s="12" customFormat="1" ht="12.75" customHeight="1">
      <c r="A8" s="90">
        <v>3</v>
      </c>
      <c r="B8" s="59" t="s">
        <v>24</v>
      </c>
      <c r="C8" s="62"/>
      <c r="D8" s="95"/>
      <c r="E8" s="68" t="s">
        <v>23</v>
      </c>
      <c r="F8" s="35">
        <v>4970</v>
      </c>
      <c r="G8" s="20"/>
      <c r="H8" s="42"/>
      <c r="I8" s="22"/>
      <c r="J8" s="82"/>
      <c r="K8" s="81"/>
      <c r="L8" s="42"/>
      <c r="M8" s="42"/>
      <c r="N8" s="42"/>
      <c r="O8" s="42"/>
      <c r="P8" s="42"/>
      <c r="Q8" s="42"/>
    </row>
    <row r="9" spans="1:17" s="12" customFormat="1" ht="12.75" customHeight="1">
      <c r="A9" s="90">
        <v>4</v>
      </c>
      <c r="B9" s="61" t="s">
        <v>25</v>
      </c>
      <c r="C9" s="62"/>
      <c r="D9" s="95"/>
      <c r="E9" s="68" t="s">
        <v>23</v>
      </c>
      <c r="F9" s="35">
        <v>4579</v>
      </c>
      <c r="G9" s="20"/>
      <c r="H9" s="42"/>
      <c r="I9" s="22"/>
      <c r="J9" s="82"/>
      <c r="K9" s="81"/>
      <c r="L9" s="42"/>
      <c r="M9" s="42"/>
      <c r="N9" s="42"/>
      <c r="O9" s="42"/>
      <c r="P9" s="42"/>
      <c r="Q9" s="42"/>
    </row>
    <row r="10" spans="1:17" s="12" customFormat="1" ht="12.75" customHeight="1">
      <c r="A10" s="90">
        <v>5</v>
      </c>
      <c r="B10" s="59" t="s">
        <v>26</v>
      </c>
      <c r="C10" s="62"/>
      <c r="D10" s="95"/>
      <c r="E10" s="68" t="s">
        <v>23</v>
      </c>
      <c r="F10" s="33">
        <f>IF($F$6=0,"-",F8-F9)</f>
        <v>391</v>
      </c>
      <c r="G10" s="37"/>
      <c r="H10" s="42"/>
      <c r="I10" s="22"/>
      <c r="J10" s="82"/>
      <c r="K10" s="81"/>
      <c r="L10" s="46"/>
      <c r="M10" s="40"/>
      <c r="N10" s="42"/>
      <c r="O10" s="42"/>
      <c r="P10" s="42"/>
      <c r="Q10" s="42"/>
    </row>
    <row r="11" spans="1:17" s="12" customFormat="1" ht="12.75" customHeight="1" thickBot="1">
      <c r="A11" s="90">
        <v>6</v>
      </c>
      <c r="B11" s="59" t="s">
        <v>27</v>
      </c>
      <c r="C11" s="62"/>
      <c r="D11" s="95"/>
      <c r="E11" s="68" t="s">
        <v>23</v>
      </c>
      <c r="F11" s="33">
        <f>IF($F$6=0,"-",F9-F7)</f>
        <v>3941</v>
      </c>
      <c r="G11" s="37"/>
      <c r="H11" s="42"/>
      <c r="I11" s="22"/>
      <c r="J11" s="82"/>
      <c r="K11" s="81"/>
      <c r="L11" s="29"/>
      <c r="M11" s="40"/>
      <c r="N11" s="42"/>
      <c r="O11" s="42"/>
      <c r="P11" s="42"/>
      <c r="Q11" s="42"/>
    </row>
    <row r="12" spans="1:17" s="12" customFormat="1" ht="12.75" customHeight="1" thickBot="1">
      <c r="A12" s="91">
        <v>7</v>
      </c>
      <c r="B12" s="63" t="s">
        <v>28</v>
      </c>
      <c r="C12" s="324"/>
      <c r="D12" s="77"/>
      <c r="E12" s="65" t="s">
        <v>29</v>
      </c>
      <c r="F12" s="23">
        <f>IF($F$6=0,"-",100*F10/F11)</f>
        <v>9.921339761481857</v>
      </c>
      <c r="G12" s="37"/>
      <c r="H12" s="42"/>
      <c r="I12" s="22"/>
      <c r="J12" s="82"/>
      <c r="K12" s="81"/>
      <c r="L12" s="29"/>
      <c r="M12" s="40"/>
      <c r="N12" s="42"/>
      <c r="O12" s="42"/>
      <c r="P12" s="42"/>
      <c r="Q12" s="42"/>
    </row>
    <row r="13" spans="1:17" s="12" customFormat="1" ht="12.75" customHeight="1" thickBot="1">
      <c r="A13" s="42"/>
      <c r="B13" s="16"/>
      <c r="C13" s="22"/>
      <c r="D13" s="22"/>
      <c r="E13" s="85"/>
      <c r="F13" s="85"/>
      <c r="G13" s="85"/>
      <c r="H13" s="42"/>
      <c r="I13" s="22"/>
      <c r="J13" s="22"/>
      <c r="K13" s="42"/>
      <c r="L13" s="29"/>
      <c r="M13" s="40"/>
      <c r="N13" s="42"/>
      <c r="O13" s="42"/>
      <c r="P13" s="42"/>
      <c r="Q13" s="42"/>
    </row>
    <row r="14" spans="1:17" s="12" customFormat="1" ht="12.75" customHeight="1" thickBot="1">
      <c r="A14" s="72" t="s">
        <v>30</v>
      </c>
      <c r="B14" s="50"/>
      <c r="C14" s="49"/>
      <c r="D14" s="49"/>
      <c r="E14" s="32"/>
      <c r="F14" s="326"/>
      <c r="G14" s="19"/>
      <c r="H14" s="42"/>
      <c r="I14" s="79"/>
      <c r="J14" s="79"/>
      <c r="K14" s="45"/>
      <c r="L14" s="29"/>
      <c r="M14" s="40"/>
      <c r="N14" s="42"/>
      <c r="O14" s="42"/>
      <c r="P14" s="42"/>
      <c r="Q14" s="42"/>
    </row>
    <row r="15" spans="1:17" s="12" customFormat="1" ht="12.75" customHeight="1">
      <c r="A15" s="98">
        <v>8</v>
      </c>
      <c r="B15" s="61" t="s">
        <v>31</v>
      </c>
      <c r="C15" s="112"/>
      <c r="D15" s="95"/>
      <c r="E15" s="68" t="s">
        <v>23</v>
      </c>
      <c r="F15" s="325">
        <v>3273</v>
      </c>
      <c r="G15" s="20"/>
      <c r="H15" s="42"/>
      <c r="I15" s="79"/>
      <c r="J15" s="86"/>
      <c r="K15" s="87"/>
      <c r="L15" s="29"/>
      <c r="M15" s="40"/>
      <c r="N15" s="42"/>
      <c r="O15" s="42"/>
      <c r="P15" s="42"/>
      <c r="Q15" s="42"/>
    </row>
    <row r="16" spans="1:17" s="12" customFormat="1" ht="12.75" customHeight="1">
      <c r="A16" s="90">
        <v>9</v>
      </c>
      <c r="B16" s="61" t="s">
        <v>32</v>
      </c>
      <c r="C16" s="112"/>
      <c r="D16" s="95"/>
      <c r="E16" s="68" t="s">
        <v>23</v>
      </c>
      <c r="F16" s="33">
        <f>IF($F$6=0,"-",F15-F7)</f>
        <v>2635</v>
      </c>
      <c r="G16" s="37"/>
      <c r="H16" s="88"/>
      <c r="I16" s="79"/>
      <c r="J16" s="86"/>
      <c r="K16" s="87"/>
      <c r="L16" s="29"/>
      <c r="M16" s="40"/>
      <c r="N16" s="42"/>
      <c r="O16" s="42"/>
      <c r="P16" s="42"/>
      <c r="Q16" s="42"/>
    </row>
    <row r="17" spans="1:17" s="12" customFormat="1" ht="12.75" customHeight="1" thickBot="1">
      <c r="A17" s="90">
        <v>10</v>
      </c>
      <c r="B17" s="61" t="s">
        <v>33</v>
      </c>
      <c r="C17" s="112"/>
      <c r="D17" s="95"/>
      <c r="E17" s="68" t="s">
        <v>23</v>
      </c>
      <c r="F17" s="33">
        <f>IF($F$6=0,"-",D40)</f>
        <v>16.42</v>
      </c>
      <c r="G17" s="37"/>
      <c r="H17" s="42"/>
      <c r="I17" s="79"/>
      <c r="J17" s="86"/>
      <c r="K17" s="87"/>
      <c r="L17" s="29"/>
      <c r="M17" s="40"/>
      <c r="N17" s="42"/>
      <c r="O17" s="42"/>
      <c r="P17" s="42"/>
      <c r="Q17" s="42"/>
    </row>
    <row r="18" spans="1:17" s="12" customFormat="1" ht="12.75" customHeight="1">
      <c r="A18" s="90">
        <v>11</v>
      </c>
      <c r="B18" s="61" t="s">
        <v>34</v>
      </c>
      <c r="C18" s="112"/>
      <c r="D18" s="95"/>
      <c r="E18" s="68" t="s">
        <v>23</v>
      </c>
      <c r="F18" s="33">
        <f>IF($F$6=0,"-",D41)</f>
        <v>2641.0000000000005</v>
      </c>
      <c r="G18" s="37"/>
      <c r="H18" s="115" t="s">
        <v>35</v>
      </c>
      <c r="I18" s="94" t="s">
        <v>36</v>
      </c>
      <c r="J18" s="100">
        <f>IF(OR($F$6=0,C27=0),"-",IF(MAX(N27:N39)&lt;99,MAX(N27:N39),"&gt; 99"))</f>
        <v>0.0024844233699675717</v>
      </c>
      <c r="K18" s="82"/>
      <c r="L18" s="29"/>
      <c r="M18" s="40"/>
      <c r="N18" s="42"/>
      <c r="O18" s="42"/>
      <c r="P18" s="42"/>
      <c r="Q18" s="42"/>
    </row>
    <row r="19" spans="1:17" s="12" customFormat="1" ht="12.75" customHeight="1">
      <c r="A19" s="90">
        <v>12</v>
      </c>
      <c r="B19" s="6" t="s">
        <v>37</v>
      </c>
      <c r="C19" s="112"/>
      <c r="D19" s="95"/>
      <c r="E19" s="68" t="s">
        <v>23</v>
      </c>
      <c r="F19" s="33">
        <f>IF($F$6=0,"-",F16-F18)</f>
        <v>-6.000000000000455</v>
      </c>
      <c r="G19" s="37"/>
      <c r="H19" s="67" t="s">
        <v>38</v>
      </c>
      <c r="I19" s="68" t="s">
        <v>36</v>
      </c>
      <c r="J19" s="101">
        <f>IF(OR($F$6=0,C27=0),"-",IF(MAX(M27:M39)&lt;99,MAX(M27:M39),"&gt; 99"))</f>
        <v>0.04484312386763096</v>
      </c>
      <c r="K19" s="82"/>
      <c r="L19" s="29"/>
      <c r="M19" s="40"/>
      <c r="N19" s="42"/>
      <c r="O19" s="42"/>
      <c r="P19" s="42"/>
      <c r="Q19" s="42"/>
    </row>
    <row r="20" spans="1:17" s="12" customFormat="1" ht="12.75" customHeight="1" thickBot="1">
      <c r="A20" s="90">
        <v>13</v>
      </c>
      <c r="B20" s="59" t="s">
        <v>39</v>
      </c>
      <c r="C20" s="112"/>
      <c r="D20" s="95"/>
      <c r="E20" s="68" t="s">
        <v>23</v>
      </c>
      <c r="F20" s="33">
        <f>IF($F$6=0,"-",F11-F18-F19+F17)</f>
        <v>1322.42</v>
      </c>
      <c r="G20" s="37"/>
      <c r="H20" s="67" t="s">
        <v>40</v>
      </c>
      <c r="I20" s="68" t="s">
        <v>36</v>
      </c>
      <c r="J20" s="101">
        <f>IF(OR($F$6=0,C27=0),"-",IF(MAX(L27:L39)&lt;99,MAX(L27:L39),"&gt; 99"))</f>
        <v>5.029721294929914</v>
      </c>
      <c r="K20" s="82"/>
      <c r="L20" s="29"/>
      <c r="M20" s="40"/>
      <c r="N20" s="42"/>
      <c r="O20" s="42"/>
      <c r="P20" s="42"/>
      <c r="Q20" s="42"/>
    </row>
    <row r="21" spans="1:17" s="12" customFormat="1" ht="12.75" customHeight="1">
      <c r="A21" s="90">
        <v>14</v>
      </c>
      <c r="B21" s="59" t="s">
        <v>41</v>
      </c>
      <c r="C21" s="112"/>
      <c r="D21" s="95"/>
      <c r="E21" s="68" t="s">
        <v>29</v>
      </c>
      <c r="F21" s="33">
        <f>IF($F$6=0,"-",100*F20/F11)</f>
        <v>33.55544278102005</v>
      </c>
      <c r="G21" s="37"/>
      <c r="H21" s="116" t="s">
        <v>42</v>
      </c>
      <c r="I21" s="117"/>
      <c r="J21" s="100" t="str">
        <f>IF(OR($F$6=0,C27=0),"-",IF(J20/J18&lt;99,J20/J18,"&gt; 99"))</f>
        <v>&gt; 99</v>
      </c>
      <c r="K21" s="82"/>
      <c r="L21" s="29"/>
      <c r="M21" s="40"/>
      <c r="N21" s="42"/>
      <c r="O21" s="42"/>
      <c r="P21" s="42"/>
      <c r="Q21" s="42"/>
    </row>
    <row r="22" spans="1:17" s="12" customFormat="1" ht="12.75" customHeight="1" thickBot="1">
      <c r="A22" s="99">
        <v>15</v>
      </c>
      <c r="B22" s="64" t="s">
        <v>43</v>
      </c>
      <c r="C22" s="113"/>
      <c r="D22" s="114"/>
      <c r="E22" s="9" t="s">
        <v>29</v>
      </c>
      <c r="F22" s="34">
        <f>IF($F$6=0,"-",100*F19/F16)</f>
        <v>-0.2277039848197516</v>
      </c>
      <c r="G22" s="37"/>
      <c r="H22" s="118" t="s">
        <v>44</v>
      </c>
      <c r="I22" s="119"/>
      <c r="J22" s="102">
        <f>IF(OR($F$6=0,C27=0),"-",IF(J19^2/(J18*J20)&lt;99,J19^2/(J18*J20),"&gt; 99"))</f>
        <v>0.1609245084118276</v>
      </c>
      <c r="K22" s="82"/>
      <c r="L22" s="29"/>
      <c r="M22" s="40"/>
      <c r="N22" s="42"/>
      <c r="O22" s="42"/>
      <c r="P22" s="42"/>
      <c r="Q22" s="42"/>
    </row>
    <row r="23" spans="1:17" s="12" customFormat="1" ht="12.75" customHeight="1" thickBot="1">
      <c r="A23" s="42"/>
      <c r="B23" s="47"/>
      <c r="C23" s="82"/>
      <c r="D23" s="79"/>
      <c r="E23" s="82"/>
      <c r="F23" s="82"/>
      <c r="G23" s="82"/>
      <c r="H23" s="22"/>
      <c r="I23" s="22"/>
      <c r="J23" s="22"/>
      <c r="K23" s="42"/>
      <c r="L23" s="29"/>
      <c r="M23" s="40"/>
      <c r="N23" s="42"/>
      <c r="O23" s="42"/>
      <c r="P23" s="42"/>
      <c r="Q23" s="42"/>
    </row>
    <row r="24" spans="1:17" s="12" customFormat="1" ht="12.75" customHeight="1">
      <c r="A24" s="7" t="s">
        <v>45</v>
      </c>
      <c r="B24" s="138"/>
      <c r="C24" s="139"/>
      <c r="D24" s="7" t="s">
        <v>46</v>
      </c>
      <c r="E24" s="140"/>
      <c r="F24" s="141" t="s">
        <v>46</v>
      </c>
      <c r="G24" s="142" t="s">
        <v>47</v>
      </c>
      <c r="H24" s="142"/>
      <c r="I24" s="143" t="s">
        <v>48</v>
      </c>
      <c r="J24" s="139" t="s">
        <v>49</v>
      </c>
      <c r="K24" s="42"/>
      <c r="L24" s="120" t="s">
        <v>40</v>
      </c>
      <c r="M24" s="121" t="s">
        <v>38</v>
      </c>
      <c r="N24" s="122" t="s">
        <v>35</v>
      </c>
      <c r="O24" s="42"/>
      <c r="P24" s="42"/>
      <c r="Q24" s="42"/>
    </row>
    <row r="25" spans="1:17" s="12" customFormat="1" ht="12.75" customHeight="1" thickBot="1">
      <c r="A25" s="144"/>
      <c r="B25" s="145"/>
      <c r="C25" s="146"/>
      <c r="D25" s="144" t="s">
        <v>50</v>
      </c>
      <c r="E25" s="147"/>
      <c r="F25" s="148" t="s">
        <v>51</v>
      </c>
      <c r="G25" s="149" t="s">
        <v>50</v>
      </c>
      <c r="H25" s="149"/>
      <c r="I25" s="150" t="s">
        <v>50</v>
      </c>
      <c r="J25" s="151" t="s">
        <v>52</v>
      </c>
      <c r="K25" s="42"/>
      <c r="L25" s="123"/>
      <c r="M25" s="124"/>
      <c r="N25" s="125"/>
      <c r="O25" s="42"/>
      <c r="P25" s="42"/>
      <c r="Q25" s="42"/>
    </row>
    <row r="26" spans="1:17" s="12" customFormat="1" ht="12.75" customHeight="1" thickBot="1">
      <c r="A26" s="211"/>
      <c r="B26" s="8" t="s">
        <v>15</v>
      </c>
      <c r="C26" s="213" t="s">
        <v>36</v>
      </c>
      <c r="D26" s="152" t="s">
        <v>23</v>
      </c>
      <c r="E26" s="154"/>
      <c r="F26" s="155" t="s">
        <v>23</v>
      </c>
      <c r="G26" s="156" t="s">
        <v>29</v>
      </c>
      <c r="H26" s="156"/>
      <c r="I26" s="157" t="s">
        <v>29</v>
      </c>
      <c r="J26" s="153" t="s">
        <v>29</v>
      </c>
      <c r="K26" s="42"/>
      <c r="L26" s="123"/>
      <c r="M26" s="124"/>
      <c r="N26" s="125"/>
      <c r="O26" s="42"/>
      <c r="P26" s="42"/>
      <c r="Q26" s="42"/>
    </row>
    <row r="27" spans="1:17" s="12" customFormat="1" ht="12.75" customHeight="1">
      <c r="A27" s="212"/>
      <c r="B27" s="277" t="s">
        <v>53</v>
      </c>
      <c r="C27" s="279">
        <v>75</v>
      </c>
      <c r="D27" s="103">
        <v>0</v>
      </c>
      <c r="E27" s="104"/>
      <c r="F27" s="101">
        <f aca="true" t="shared" si="0" ref="F27:F39">IF($F$6=0,"-",IF(D27=MAX($D$27:$D$39),D27+$F$19,D27))</f>
        <v>0</v>
      </c>
      <c r="G27" s="58"/>
      <c r="H27" s="36">
        <f aca="true" t="shared" si="1" ref="H27:H40">IF($F$6=0,"-",100*F27/$F$41)</f>
        <v>0</v>
      </c>
      <c r="I27" s="101">
        <f>IF($F$6=0,"-",SUM($H$27:H27))</f>
        <v>0</v>
      </c>
      <c r="J27" s="105">
        <f>IF($F$6=0,"-",100-H27)</f>
        <v>100</v>
      </c>
      <c r="K27" s="42"/>
      <c r="L27" s="126">
        <f aca="true" t="shared" si="2" ref="L27:L38">IF(AND(J27&gt;=60,J28&lt;=60),10^(LOG10(C27)-(J27-60)*(LOG10(C27)-LOG10(C28))/(J27-J28)),0)</f>
        <v>0</v>
      </c>
      <c r="M27" s="127">
        <f aca="true" t="shared" si="3" ref="M27:M38">IF(AND(J27&gt;=30,J28&lt;=30),10^(LOG10(C27)-(J27-30)*(LOG10(C27)-LOG10(C28))/(J27-J28)),0)</f>
        <v>0</v>
      </c>
      <c r="N27" s="128">
        <f aca="true" t="shared" si="4" ref="N27:N38">IF(AND(J27&gt;=10,J28&lt;=10),10^(LOG10(C27)-(J27-10)*(LOG10(C27)-LOG10(C28))/(J27-J28)),0)</f>
        <v>0</v>
      </c>
      <c r="O27" s="42"/>
      <c r="P27" s="42"/>
      <c r="Q27" s="42"/>
    </row>
    <row r="28" spans="1:17" s="12" customFormat="1" ht="12.75" customHeight="1">
      <c r="A28" s="212"/>
      <c r="B28" s="277" t="s">
        <v>54</v>
      </c>
      <c r="C28" s="280">
        <v>50</v>
      </c>
      <c r="D28" s="103">
        <v>0</v>
      </c>
      <c r="E28" s="104"/>
      <c r="F28" s="101">
        <f t="shared" si="0"/>
        <v>0</v>
      </c>
      <c r="G28" s="36"/>
      <c r="H28" s="36">
        <f t="shared" si="1"/>
        <v>0</v>
      </c>
      <c r="I28" s="101">
        <f>IF($F$6=0,"-",SUM($H$27:H28))</f>
        <v>0</v>
      </c>
      <c r="J28" s="33">
        <f aca="true" t="shared" si="5" ref="J28:J40">IF($F$6=0,"-",J27-H28)</f>
        <v>100</v>
      </c>
      <c r="K28" s="42"/>
      <c r="L28" s="126">
        <f t="shared" si="2"/>
        <v>0</v>
      </c>
      <c r="M28" s="127">
        <f t="shared" si="3"/>
        <v>0</v>
      </c>
      <c r="N28" s="128">
        <f t="shared" si="4"/>
        <v>0</v>
      </c>
      <c r="O28" s="42"/>
      <c r="P28" s="42"/>
      <c r="Q28" s="42"/>
    </row>
    <row r="29" spans="1:17" s="12" customFormat="1" ht="12.75" customHeight="1">
      <c r="A29" s="212"/>
      <c r="B29" s="278" t="s">
        <v>55</v>
      </c>
      <c r="C29" s="280">
        <v>37.5</v>
      </c>
      <c r="D29" s="103">
        <v>316.42</v>
      </c>
      <c r="E29" s="104"/>
      <c r="F29" s="101">
        <f t="shared" si="0"/>
        <v>316.42</v>
      </c>
      <c r="G29" s="36"/>
      <c r="H29" s="36">
        <f t="shared" si="1"/>
        <v>8.028926668358285</v>
      </c>
      <c r="I29" s="101">
        <f>IF($F$6=0,"-",SUM($H$27:H29))</f>
        <v>8.028926668358285</v>
      </c>
      <c r="J29" s="33">
        <f t="shared" si="5"/>
        <v>91.97107333164172</v>
      </c>
      <c r="K29" s="42"/>
      <c r="L29" s="126">
        <f t="shared" si="2"/>
        <v>0</v>
      </c>
      <c r="M29" s="127">
        <f t="shared" si="3"/>
        <v>0</v>
      </c>
      <c r="N29" s="128">
        <f t="shared" si="4"/>
        <v>0</v>
      </c>
      <c r="O29" s="42"/>
      <c r="P29" s="42"/>
      <c r="Q29" s="42"/>
    </row>
    <row r="30" spans="1:17" s="12" customFormat="1" ht="12.75" customHeight="1">
      <c r="A30" s="212"/>
      <c r="B30" s="277" t="s">
        <v>56</v>
      </c>
      <c r="C30" s="280">
        <v>25</v>
      </c>
      <c r="D30" s="103">
        <v>405.93</v>
      </c>
      <c r="E30" s="104"/>
      <c r="F30" s="101">
        <f t="shared" si="0"/>
        <v>405.93</v>
      </c>
      <c r="G30" s="36"/>
      <c r="H30" s="36">
        <f t="shared" si="1"/>
        <v>10.300177619893429</v>
      </c>
      <c r="I30" s="101">
        <f>IF($F$6=0,"-",SUM($H$27:H30))</f>
        <v>18.329104288251713</v>
      </c>
      <c r="J30" s="33">
        <f t="shared" si="5"/>
        <v>81.67089571174829</v>
      </c>
      <c r="K30" s="42"/>
      <c r="L30" s="126">
        <f t="shared" si="2"/>
        <v>0</v>
      </c>
      <c r="M30" s="127">
        <f t="shared" si="3"/>
        <v>0</v>
      </c>
      <c r="N30" s="128">
        <f t="shared" si="4"/>
        <v>0</v>
      </c>
      <c r="O30" s="42"/>
      <c r="P30" s="42"/>
      <c r="Q30" s="42"/>
    </row>
    <row r="31" spans="1:17" s="12" customFormat="1" ht="12.75" customHeight="1">
      <c r="A31" s="212"/>
      <c r="B31" s="277" t="s">
        <v>57</v>
      </c>
      <c r="C31" s="280">
        <v>19</v>
      </c>
      <c r="D31" s="103">
        <v>144.31</v>
      </c>
      <c r="E31" s="104"/>
      <c r="F31" s="101">
        <f t="shared" si="0"/>
        <v>144.31</v>
      </c>
      <c r="G31" s="36"/>
      <c r="H31" s="36">
        <f t="shared" si="1"/>
        <v>3.6617609743719868</v>
      </c>
      <c r="I31" s="101">
        <f>IF($F$6=0,"-",SUM($H$27:H31))</f>
        <v>21.9908652626237</v>
      </c>
      <c r="J31" s="33">
        <f t="shared" si="5"/>
        <v>78.0091347373763</v>
      </c>
      <c r="K31" s="42"/>
      <c r="L31" s="126">
        <f t="shared" si="2"/>
        <v>0</v>
      </c>
      <c r="M31" s="127">
        <f t="shared" si="3"/>
        <v>0</v>
      </c>
      <c r="N31" s="128">
        <f t="shared" si="4"/>
        <v>0</v>
      </c>
      <c r="O31" s="42"/>
      <c r="P31" s="42"/>
      <c r="Q31" s="42"/>
    </row>
    <row r="32" spans="1:17" s="12" customFormat="1" ht="12.75" customHeight="1">
      <c r="A32" s="212"/>
      <c r="B32" s="277" t="s">
        <v>58</v>
      </c>
      <c r="C32" s="280">
        <v>9.5</v>
      </c>
      <c r="D32" s="103">
        <v>423.56</v>
      </c>
      <c r="E32" s="104"/>
      <c r="F32" s="101">
        <f t="shared" si="0"/>
        <v>417.55999999999955</v>
      </c>
      <c r="G32" s="36"/>
      <c r="H32" s="36">
        <f t="shared" si="1"/>
        <v>10.5952803856889</v>
      </c>
      <c r="I32" s="101">
        <f>IF($F$6=0,"-",SUM($H$27:H32))</f>
        <v>32.5861456483126</v>
      </c>
      <c r="J32" s="33">
        <f t="shared" si="5"/>
        <v>67.4138543516874</v>
      </c>
      <c r="K32" s="42"/>
      <c r="L32" s="126">
        <f t="shared" si="2"/>
        <v>5.029721294929914</v>
      </c>
      <c r="M32" s="127">
        <f t="shared" si="3"/>
        <v>0</v>
      </c>
      <c r="N32" s="128">
        <f t="shared" si="4"/>
        <v>0</v>
      </c>
      <c r="O32" s="42"/>
      <c r="P32" s="42"/>
      <c r="Q32" s="42"/>
    </row>
    <row r="33" spans="1:17" s="12" customFormat="1" ht="12.75" customHeight="1">
      <c r="A33" s="212"/>
      <c r="B33" s="277" t="s">
        <v>59</v>
      </c>
      <c r="C33" s="280">
        <v>4.75</v>
      </c>
      <c r="D33" s="103">
        <v>318.47</v>
      </c>
      <c r="E33" s="104"/>
      <c r="F33" s="101">
        <f t="shared" si="0"/>
        <v>318.47</v>
      </c>
      <c r="G33" s="36"/>
      <c r="H33" s="36">
        <f t="shared" si="1"/>
        <v>8.080943922862218</v>
      </c>
      <c r="I33" s="101">
        <f>IF($F$6=0,"-",SUM($H$27:H33))</f>
        <v>40.66708957117482</v>
      </c>
      <c r="J33" s="33">
        <f t="shared" si="5"/>
        <v>59.33291042882519</v>
      </c>
      <c r="K33" s="42"/>
      <c r="L33" s="126">
        <f t="shared" si="2"/>
        <v>0</v>
      </c>
      <c r="M33" s="127">
        <f t="shared" si="3"/>
        <v>0</v>
      </c>
      <c r="N33" s="128">
        <f t="shared" si="4"/>
        <v>0</v>
      </c>
      <c r="O33" s="42"/>
      <c r="P33" s="42"/>
      <c r="Q33" s="42"/>
    </row>
    <row r="34" spans="1:17" s="12" customFormat="1" ht="12.75" customHeight="1">
      <c r="A34" s="212"/>
      <c r="B34" s="277" t="s">
        <v>60</v>
      </c>
      <c r="C34" s="280">
        <v>2</v>
      </c>
      <c r="D34" s="103">
        <v>309</v>
      </c>
      <c r="E34" s="104"/>
      <c r="F34" s="101">
        <f t="shared" si="0"/>
        <v>309</v>
      </c>
      <c r="G34" s="36"/>
      <c r="H34" s="36">
        <f t="shared" si="1"/>
        <v>7.840649581324537</v>
      </c>
      <c r="I34" s="101">
        <f>IF($F$6=0,"-",SUM($H$27:H34))</f>
        <v>48.507739152499354</v>
      </c>
      <c r="J34" s="33">
        <f t="shared" si="5"/>
        <v>51.49226084750065</v>
      </c>
      <c r="K34" s="42"/>
      <c r="L34" s="126">
        <f t="shared" si="2"/>
        <v>0</v>
      </c>
      <c r="M34" s="127">
        <f t="shared" si="3"/>
        <v>0</v>
      </c>
      <c r="N34" s="128">
        <f t="shared" si="4"/>
        <v>0</v>
      </c>
      <c r="O34" s="42"/>
      <c r="P34" s="42"/>
      <c r="Q34" s="42"/>
    </row>
    <row r="35" spans="1:17" s="12" customFormat="1" ht="12.75" customHeight="1">
      <c r="A35" s="212"/>
      <c r="B35" s="277" t="s">
        <v>61</v>
      </c>
      <c r="C35" s="280">
        <v>0.85</v>
      </c>
      <c r="D35" s="103">
        <v>184.53</v>
      </c>
      <c r="E35" s="104"/>
      <c r="F35" s="101">
        <f t="shared" si="0"/>
        <v>184.53</v>
      </c>
      <c r="G35" s="36"/>
      <c r="H35" s="36">
        <f t="shared" si="1"/>
        <v>4.682314133468663</v>
      </c>
      <c r="I35" s="101">
        <f>IF($F$6=0,"-",SUM($H$27:H35))</f>
        <v>53.19005328596802</v>
      </c>
      <c r="J35" s="33">
        <f t="shared" si="5"/>
        <v>46.80994671403199</v>
      </c>
      <c r="K35" s="42"/>
      <c r="L35" s="126">
        <f t="shared" si="2"/>
        <v>0</v>
      </c>
      <c r="M35" s="127">
        <f t="shared" si="3"/>
        <v>0</v>
      </c>
      <c r="N35" s="128">
        <f t="shared" si="4"/>
        <v>0</v>
      </c>
      <c r="O35" s="42"/>
      <c r="P35" s="42"/>
      <c r="Q35" s="42"/>
    </row>
    <row r="36" spans="1:17" s="12" customFormat="1" ht="12.75" customHeight="1">
      <c r="A36" s="212"/>
      <c r="B36" s="277" t="s">
        <v>62</v>
      </c>
      <c r="C36" s="280">
        <v>0.425</v>
      </c>
      <c r="D36" s="103">
        <v>115.45</v>
      </c>
      <c r="E36" s="104"/>
      <c r="F36" s="101">
        <f t="shared" si="0"/>
        <v>115.45</v>
      </c>
      <c r="G36" s="36"/>
      <c r="H36" s="36">
        <f t="shared" si="1"/>
        <v>2.929459528038569</v>
      </c>
      <c r="I36" s="101">
        <f>IF($F$6=0,"-",SUM($H$27:H36))</f>
        <v>56.11951281400659</v>
      </c>
      <c r="J36" s="33">
        <f t="shared" si="5"/>
        <v>43.88048718599342</v>
      </c>
      <c r="K36" s="42"/>
      <c r="L36" s="126">
        <f t="shared" si="2"/>
        <v>0</v>
      </c>
      <c r="M36" s="127">
        <f t="shared" si="3"/>
        <v>0</v>
      </c>
      <c r="N36" s="128">
        <f t="shared" si="4"/>
        <v>0</v>
      </c>
      <c r="O36" s="42"/>
      <c r="P36" s="42"/>
      <c r="Q36" s="42"/>
    </row>
    <row r="37" spans="1:17" s="12" customFormat="1" ht="12.75" customHeight="1">
      <c r="A37" s="212"/>
      <c r="B37" s="277" t="s">
        <v>63</v>
      </c>
      <c r="C37" s="280">
        <v>0.25</v>
      </c>
      <c r="D37" s="103">
        <v>91.51</v>
      </c>
      <c r="E37" s="104"/>
      <c r="F37" s="101">
        <f t="shared" si="0"/>
        <v>91.51</v>
      </c>
      <c r="G37" s="36"/>
      <c r="H37" s="36">
        <f t="shared" si="1"/>
        <v>2.3219994925145904</v>
      </c>
      <c r="I37" s="101">
        <f>IF($F$6=0,"-",SUM($H$27:H37))</f>
        <v>58.44151230652118</v>
      </c>
      <c r="J37" s="33">
        <f t="shared" si="5"/>
        <v>41.558487693478824</v>
      </c>
      <c r="K37" s="42"/>
      <c r="L37" s="126">
        <f t="shared" si="2"/>
        <v>0</v>
      </c>
      <c r="M37" s="127">
        <f t="shared" si="3"/>
        <v>0</v>
      </c>
      <c r="N37" s="128">
        <f t="shared" si="4"/>
        <v>0</v>
      </c>
      <c r="O37" s="42"/>
      <c r="P37" s="42"/>
      <c r="Q37" s="42"/>
    </row>
    <row r="38" spans="1:17" s="12" customFormat="1" ht="12.75" customHeight="1">
      <c r="A38" s="212"/>
      <c r="B38" s="277" t="s">
        <v>64</v>
      </c>
      <c r="C38" s="280">
        <v>0.15</v>
      </c>
      <c r="D38" s="103">
        <v>126.56</v>
      </c>
      <c r="E38" s="104"/>
      <c r="F38" s="101">
        <f t="shared" si="0"/>
        <v>126.56</v>
      </c>
      <c r="G38" s="36"/>
      <c r="H38" s="36">
        <f t="shared" si="1"/>
        <v>3.2113676731793963</v>
      </c>
      <c r="I38" s="101">
        <f>IF($F$6=0,"-",SUM($H$27:H38))</f>
        <v>61.65287997970058</v>
      </c>
      <c r="J38" s="33">
        <f t="shared" si="5"/>
        <v>38.34712002029943</v>
      </c>
      <c r="K38" s="42"/>
      <c r="L38" s="126">
        <f t="shared" si="2"/>
        <v>0</v>
      </c>
      <c r="M38" s="127">
        <f t="shared" si="3"/>
        <v>0</v>
      </c>
      <c r="N38" s="128">
        <f t="shared" si="4"/>
        <v>0</v>
      </c>
      <c r="O38" s="42"/>
      <c r="P38" s="42"/>
      <c r="Q38" s="42"/>
    </row>
    <row r="39" spans="1:17" s="12" customFormat="1" ht="12.75" customHeight="1" thickBot="1">
      <c r="A39" s="212"/>
      <c r="B39" s="277" t="s">
        <v>65</v>
      </c>
      <c r="C39" s="280">
        <v>0.075</v>
      </c>
      <c r="D39" s="103">
        <v>188.84</v>
      </c>
      <c r="E39" s="104"/>
      <c r="F39" s="101">
        <f t="shared" si="0"/>
        <v>188.84</v>
      </c>
      <c r="G39" s="36"/>
      <c r="H39" s="36">
        <f t="shared" si="1"/>
        <v>4.7916772392793705</v>
      </c>
      <c r="I39" s="101">
        <f>IF($F$6=0,"-",SUM($H$27:H39))</f>
        <v>66.44455721897995</v>
      </c>
      <c r="J39" s="33">
        <f t="shared" si="5"/>
        <v>33.555442781020055</v>
      </c>
      <c r="K39" s="42"/>
      <c r="L39" s="129">
        <f>IF(AND(J39&gt;=60,J40&lt;=60),10^(LOG10(C38)-(J38-60)*(LOG10(C38)-LOG10(C39))/(J38-J39)),0)</f>
        <v>0</v>
      </c>
      <c r="M39" s="130">
        <f>IF(AND(J39&gt;=30,J40&lt;=30),10^(LOG10(C38)-(J38-30)*(LOG10(C38)-LOG10(C39))/(J38-J39)),0)</f>
        <v>0.04484312386763096</v>
      </c>
      <c r="N39" s="131">
        <f>IF(AND(J39&gt;=10,J40&lt;=10),10^(LOG10(C38)-(J38-10)*(LOG10(C38)-LOG10(C39))/(J38-J39)),0)</f>
        <v>0.0024844233699675717</v>
      </c>
      <c r="O39" s="42"/>
      <c r="P39" s="42"/>
      <c r="Q39" s="42"/>
    </row>
    <row r="40" spans="1:17" s="12" customFormat="1" ht="12.75" customHeight="1" thickBot="1">
      <c r="A40" s="205" t="s">
        <v>66</v>
      </c>
      <c r="B40" s="206"/>
      <c r="C40" s="207"/>
      <c r="D40" s="103">
        <v>16.42</v>
      </c>
      <c r="E40" s="38"/>
      <c r="F40" s="106">
        <f>IF($F$6=0,"-",F20)</f>
        <v>1322.42</v>
      </c>
      <c r="G40" s="58"/>
      <c r="H40" s="36">
        <f t="shared" si="1"/>
        <v>33.55544278102005</v>
      </c>
      <c r="I40" s="101">
        <f>IF($F$6=0,"-",SUM($H$27:H40))</f>
        <v>100</v>
      </c>
      <c r="J40" s="33">
        <f t="shared" si="5"/>
        <v>7.105427357601002E-15</v>
      </c>
      <c r="K40" s="42"/>
      <c r="L40" s="42"/>
      <c r="M40" s="42"/>
      <c r="N40" s="42"/>
      <c r="O40" s="42"/>
      <c r="P40" s="42"/>
      <c r="Q40" s="42"/>
    </row>
    <row r="41" spans="1:17" s="12" customFormat="1" ht="12.75" customHeight="1" thickBot="1">
      <c r="A41" s="208" t="s">
        <v>67</v>
      </c>
      <c r="B41" s="209"/>
      <c r="C41" s="210"/>
      <c r="D41" s="107">
        <f>IF($F$6=0,"-",SUM(D27:D40))</f>
        <v>2641.0000000000005</v>
      </c>
      <c r="E41" s="108"/>
      <c r="F41" s="109">
        <f>IF($F$6=0,"-",SUM(F27:F40))</f>
        <v>3941</v>
      </c>
      <c r="G41" s="107"/>
      <c r="H41" s="23">
        <f>IF($F$6=0,"-",SUM(H27:H40))</f>
        <v>100</v>
      </c>
      <c r="I41" s="110" t="s">
        <v>15</v>
      </c>
      <c r="J41" s="111" t="s">
        <v>15</v>
      </c>
      <c r="K41" s="42"/>
      <c r="L41" s="42"/>
      <c r="M41" s="42"/>
      <c r="N41" s="42"/>
      <c r="O41" s="42"/>
      <c r="P41" s="42"/>
      <c r="Q41" s="42"/>
    </row>
    <row r="42" spans="1:17" s="12" customFormat="1" ht="12.75" customHeight="1" thickBot="1">
      <c r="A42" s="42"/>
      <c r="B42" s="16"/>
      <c r="C42" s="22"/>
      <c r="D42" s="22"/>
      <c r="E42" s="22"/>
      <c r="F42" s="22"/>
      <c r="G42" s="22"/>
      <c r="H42" s="22"/>
      <c r="I42" s="22"/>
      <c r="J42" s="22"/>
      <c r="K42" s="42"/>
      <c r="L42" s="42"/>
      <c r="M42" s="42"/>
      <c r="N42" s="42"/>
      <c r="O42" s="42"/>
      <c r="P42" s="42"/>
      <c r="Q42" s="42"/>
    </row>
    <row r="43" spans="1:17" s="12" customFormat="1" ht="12.75" customHeight="1">
      <c r="A43" s="42"/>
      <c r="B43" s="16"/>
      <c r="C43" s="22"/>
      <c r="D43" s="22"/>
      <c r="E43" s="22"/>
      <c r="F43" s="22"/>
      <c r="G43" s="22"/>
      <c r="H43" s="22"/>
      <c r="I43" s="22"/>
      <c r="J43" s="22"/>
      <c r="K43" s="42"/>
      <c r="L43" s="132">
        <v>0.075</v>
      </c>
      <c r="M43" s="133">
        <v>0</v>
      </c>
      <c r="N43" s="42"/>
      <c r="O43" s="281">
        <f aca="true" t="shared" si="6" ref="O43:O55">IF(J27="-",0.0001,C27)</f>
        <v>75</v>
      </c>
      <c r="P43" s="282">
        <f aca="true" t="shared" si="7" ref="P43:P55">IF(J27="-",0,J27)</f>
        <v>100</v>
      </c>
      <c r="Q43" s="42"/>
    </row>
    <row r="44" spans="1:17" s="12" customFormat="1" ht="12.75" customHeight="1">
      <c r="A44" s="42"/>
      <c r="B44" s="16"/>
      <c r="C44" s="22"/>
      <c r="D44" s="22"/>
      <c r="E44" s="22"/>
      <c r="F44" s="22"/>
      <c r="G44" s="22"/>
      <c r="H44" s="22"/>
      <c r="I44" s="22"/>
      <c r="J44" s="22"/>
      <c r="K44" s="42"/>
      <c r="L44" s="134">
        <v>0.075</v>
      </c>
      <c r="M44" s="135">
        <v>100</v>
      </c>
      <c r="N44" s="42"/>
      <c r="O44" s="283">
        <f t="shared" si="6"/>
        <v>50</v>
      </c>
      <c r="P44" s="284">
        <f t="shared" si="7"/>
        <v>100</v>
      </c>
      <c r="Q44" s="42"/>
    </row>
    <row r="45" spans="1:17" s="12" customFormat="1" ht="12.75" customHeight="1">
      <c r="A45" s="42"/>
      <c r="B45" s="16"/>
      <c r="C45" s="22"/>
      <c r="D45" s="22"/>
      <c r="E45" s="22"/>
      <c r="F45" s="22"/>
      <c r="G45" s="22"/>
      <c r="H45" s="22"/>
      <c r="I45" s="22"/>
      <c r="J45" s="22"/>
      <c r="K45" s="42"/>
      <c r="L45" s="134"/>
      <c r="M45" s="135"/>
      <c r="N45" s="42"/>
      <c r="O45" s="283">
        <f t="shared" si="6"/>
        <v>37.5</v>
      </c>
      <c r="P45" s="284">
        <f t="shared" si="7"/>
        <v>91.97107333164172</v>
      </c>
      <c r="Q45" s="42"/>
    </row>
    <row r="46" spans="1:17" s="12" customFormat="1" ht="12.75" customHeight="1">
      <c r="A46" s="42"/>
      <c r="B46" s="13"/>
      <c r="C46" s="45"/>
      <c r="D46" s="45"/>
      <c r="E46" s="45"/>
      <c r="F46" s="42"/>
      <c r="G46" s="42"/>
      <c r="H46" s="42"/>
      <c r="I46" s="42"/>
      <c r="J46" s="45"/>
      <c r="K46" s="42"/>
      <c r="L46" s="134">
        <v>0.425</v>
      </c>
      <c r="M46" s="135">
        <v>0</v>
      </c>
      <c r="N46" s="42"/>
      <c r="O46" s="283">
        <f t="shared" si="6"/>
        <v>25</v>
      </c>
      <c r="P46" s="284">
        <f t="shared" si="7"/>
        <v>81.67089571174829</v>
      </c>
      <c r="Q46" s="42"/>
    </row>
    <row r="47" spans="1:17" s="12" customFormat="1" ht="12.75" customHeight="1">
      <c r="A47" s="42"/>
      <c r="B47" s="13"/>
      <c r="C47" s="45"/>
      <c r="D47" s="45"/>
      <c r="E47" s="45"/>
      <c r="F47" s="42"/>
      <c r="G47" s="42"/>
      <c r="H47" s="42"/>
      <c r="I47" s="42"/>
      <c r="J47" s="45"/>
      <c r="K47" s="42"/>
      <c r="L47" s="134">
        <v>0.425</v>
      </c>
      <c r="M47" s="135">
        <v>100</v>
      </c>
      <c r="N47" s="42"/>
      <c r="O47" s="283">
        <f t="shared" si="6"/>
        <v>19</v>
      </c>
      <c r="P47" s="284">
        <f t="shared" si="7"/>
        <v>78.0091347373763</v>
      </c>
      <c r="Q47" s="42"/>
    </row>
    <row r="48" spans="1:17" s="12" customFormat="1" ht="12.75" customHeight="1">
      <c r="A48" s="42"/>
      <c r="B48" s="13"/>
      <c r="C48" s="45"/>
      <c r="D48" s="45"/>
      <c r="E48" s="45"/>
      <c r="F48" s="42"/>
      <c r="G48" s="42"/>
      <c r="H48" s="42"/>
      <c r="I48" s="42"/>
      <c r="J48" s="45"/>
      <c r="K48" s="42"/>
      <c r="L48" s="134"/>
      <c r="M48" s="135"/>
      <c r="N48" s="42"/>
      <c r="O48" s="283">
        <f t="shared" si="6"/>
        <v>9.5</v>
      </c>
      <c r="P48" s="284">
        <f t="shared" si="7"/>
        <v>67.4138543516874</v>
      </c>
      <c r="Q48" s="42"/>
    </row>
    <row r="49" spans="1:17" s="12" customFormat="1" ht="12.75" customHeight="1">
      <c r="A49" s="42"/>
      <c r="C49" s="42"/>
      <c r="D49" s="42"/>
      <c r="E49" s="42"/>
      <c r="F49" s="42"/>
      <c r="G49" s="42"/>
      <c r="H49" s="42"/>
      <c r="I49" s="42"/>
      <c r="J49" s="42"/>
      <c r="K49" s="42"/>
      <c r="L49" s="134">
        <v>2</v>
      </c>
      <c r="M49" s="135">
        <v>0</v>
      </c>
      <c r="N49" s="42"/>
      <c r="O49" s="283">
        <f t="shared" si="6"/>
        <v>4.75</v>
      </c>
      <c r="P49" s="284">
        <f t="shared" si="7"/>
        <v>59.33291042882519</v>
      </c>
      <c r="Q49" s="42"/>
    </row>
    <row r="50" spans="1:17" s="12" customFormat="1" ht="12.75" customHeight="1">
      <c r="A50" s="42"/>
      <c r="C50" s="42"/>
      <c r="D50" s="42"/>
      <c r="E50" s="42"/>
      <c r="F50" s="42"/>
      <c r="G50" s="42"/>
      <c r="H50" s="42"/>
      <c r="I50" s="42"/>
      <c r="J50" s="42"/>
      <c r="K50" s="42"/>
      <c r="L50" s="134">
        <v>2</v>
      </c>
      <c r="M50" s="135">
        <v>100</v>
      </c>
      <c r="N50" s="42"/>
      <c r="O50" s="283">
        <f t="shared" si="6"/>
        <v>2</v>
      </c>
      <c r="P50" s="284">
        <f t="shared" si="7"/>
        <v>51.49226084750065</v>
      </c>
      <c r="Q50" s="42"/>
    </row>
    <row r="51" spans="1:17" s="14" customFormat="1" ht="12.75" customHeight="1">
      <c r="A51" s="42"/>
      <c r="B51" s="12"/>
      <c r="C51" s="42"/>
      <c r="D51" s="42"/>
      <c r="E51" s="42"/>
      <c r="F51" s="42"/>
      <c r="G51" s="42"/>
      <c r="H51" s="42"/>
      <c r="I51" s="42"/>
      <c r="J51" s="42"/>
      <c r="K51" s="42"/>
      <c r="L51" s="134"/>
      <c r="M51" s="135"/>
      <c r="N51" s="42"/>
      <c r="O51" s="283">
        <f t="shared" si="6"/>
        <v>0.85</v>
      </c>
      <c r="P51" s="284">
        <f t="shared" si="7"/>
        <v>46.80994671403199</v>
      </c>
      <c r="Q51" s="42"/>
    </row>
    <row r="52" spans="1:17" s="14" customFormat="1" ht="12.75" customHeight="1">
      <c r="A52" s="42"/>
      <c r="B52" s="12"/>
      <c r="C52" s="42"/>
      <c r="D52" s="42"/>
      <c r="E52" s="42"/>
      <c r="F52" s="42"/>
      <c r="G52" s="42"/>
      <c r="H52" s="42"/>
      <c r="I52" s="42"/>
      <c r="J52" s="42"/>
      <c r="K52" s="42"/>
      <c r="L52" s="134">
        <v>4.75</v>
      </c>
      <c r="M52" s="135">
        <v>0</v>
      </c>
      <c r="N52" s="42"/>
      <c r="O52" s="283">
        <f t="shared" si="6"/>
        <v>0.425</v>
      </c>
      <c r="P52" s="284">
        <f t="shared" si="7"/>
        <v>43.88048718599342</v>
      </c>
      <c r="Q52" s="42"/>
    </row>
    <row r="53" spans="1:17" s="14" customFormat="1" ht="12.75" customHeight="1">
      <c r="A53" s="42"/>
      <c r="B53" s="12"/>
      <c r="C53" s="42"/>
      <c r="D53" s="42"/>
      <c r="E53" s="42"/>
      <c r="F53" s="42"/>
      <c r="G53" s="42"/>
      <c r="H53" s="42"/>
      <c r="I53" s="42"/>
      <c r="J53" s="42"/>
      <c r="K53" s="42"/>
      <c r="L53" s="134">
        <v>4.75</v>
      </c>
      <c r="M53" s="135">
        <v>100</v>
      </c>
      <c r="N53" s="42"/>
      <c r="O53" s="283">
        <f t="shared" si="6"/>
        <v>0.25</v>
      </c>
      <c r="P53" s="284">
        <f t="shared" si="7"/>
        <v>41.558487693478824</v>
      </c>
      <c r="Q53" s="42"/>
    </row>
    <row r="54" spans="1:17" s="14" customFormat="1" ht="12.75" customHeight="1">
      <c r="A54" s="42"/>
      <c r="B54" s="12"/>
      <c r="C54" s="42"/>
      <c r="D54" s="42"/>
      <c r="E54" s="42"/>
      <c r="F54" s="42"/>
      <c r="G54" s="42"/>
      <c r="H54" s="42"/>
      <c r="I54" s="42"/>
      <c r="J54" s="42"/>
      <c r="K54" s="42"/>
      <c r="L54" s="134"/>
      <c r="M54" s="135"/>
      <c r="N54" s="42"/>
      <c r="O54" s="283">
        <f t="shared" si="6"/>
        <v>0.15</v>
      </c>
      <c r="P54" s="284">
        <f t="shared" si="7"/>
        <v>38.34712002029943</v>
      </c>
      <c r="Q54" s="42"/>
    </row>
    <row r="55" spans="1:17" s="14" customFormat="1" ht="12.75" customHeight="1" thickBot="1">
      <c r="A55" s="42"/>
      <c r="B55" s="12"/>
      <c r="C55" s="42"/>
      <c r="D55" s="42"/>
      <c r="E55" s="42"/>
      <c r="F55" s="42"/>
      <c r="G55" s="42"/>
      <c r="H55" s="42"/>
      <c r="I55" s="42"/>
      <c r="J55" s="42"/>
      <c r="K55" s="42"/>
      <c r="L55" s="134">
        <v>19</v>
      </c>
      <c r="M55" s="135">
        <v>0</v>
      </c>
      <c r="N55" s="42"/>
      <c r="O55" s="285">
        <f t="shared" si="6"/>
        <v>0.075</v>
      </c>
      <c r="P55" s="286">
        <f t="shared" si="7"/>
        <v>33.555442781020055</v>
      </c>
      <c r="Q55" s="42"/>
    </row>
    <row r="56" spans="1:17" s="14" customFormat="1" ht="12.75" customHeight="1">
      <c r="A56" s="42"/>
      <c r="B56" s="12"/>
      <c r="C56" s="42"/>
      <c r="D56" s="42"/>
      <c r="E56" s="42"/>
      <c r="F56" s="42"/>
      <c r="G56" s="42"/>
      <c r="H56" s="42"/>
      <c r="I56" s="42"/>
      <c r="J56" s="42"/>
      <c r="K56" s="42"/>
      <c r="L56" s="134">
        <v>19</v>
      </c>
      <c r="M56" s="135">
        <v>100</v>
      </c>
      <c r="N56" s="42"/>
      <c r="O56" s="42"/>
      <c r="P56" s="42"/>
      <c r="Q56" s="42"/>
    </row>
    <row r="57" spans="1:17" s="14" customFormat="1" ht="12.75" customHeight="1">
      <c r="A57" s="42"/>
      <c r="B57" s="12"/>
      <c r="C57" s="42"/>
      <c r="D57" s="42"/>
      <c r="E57" s="42"/>
      <c r="F57" s="42"/>
      <c r="G57" s="42"/>
      <c r="H57" s="42"/>
      <c r="I57" s="42"/>
      <c r="J57" s="42"/>
      <c r="K57" s="42"/>
      <c r="L57" s="134"/>
      <c r="M57" s="135"/>
      <c r="N57" s="42"/>
      <c r="O57" s="42"/>
      <c r="P57" s="42"/>
      <c r="Q57" s="42"/>
    </row>
    <row r="58" spans="1:17" s="14" customFormat="1" ht="12.75" customHeight="1">
      <c r="A58" s="42"/>
      <c r="B58" s="12"/>
      <c r="C58" s="42"/>
      <c r="D58" s="42"/>
      <c r="E58" s="42"/>
      <c r="F58" s="42"/>
      <c r="G58" s="42"/>
      <c r="H58" s="42"/>
      <c r="I58" s="42"/>
      <c r="J58" s="42"/>
      <c r="K58" s="42"/>
      <c r="L58" s="134">
        <v>75</v>
      </c>
      <c r="M58" s="135">
        <v>0</v>
      </c>
      <c r="N58" s="42"/>
      <c r="O58" s="42"/>
      <c r="P58" s="42"/>
      <c r="Q58" s="42"/>
    </row>
    <row r="59" spans="1:17" s="14" customFormat="1" ht="12.75" customHeight="1" thickBot="1">
      <c r="A59" s="42"/>
      <c r="B59" s="12"/>
      <c r="C59" s="42"/>
      <c r="D59" s="42"/>
      <c r="E59" s="42"/>
      <c r="F59" s="42"/>
      <c r="G59" s="42"/>
      <c r="H59" s="42"/>
      <c r="I59" s="42"/>
      <c r="J59" s="42"/>
      <c r="K59" s="42"/>
      <c r="L59" s="136">
        <v>75</v>
      </c>
      <c r="M59" s="137">
        <v>100</v>
      </c>
      <c r="N59" s="42"/>
      <c r="O59" s="42"/>
      <c r="P59" s="42"/>
      <c r="Q59" s="42"/>
    </row>
    <row r="60" spans="1:17" s="14" customFormat="1" ht="12.75" customHeight="1">
      <c r="A60" s="42"/>
      <c r="B60" s="1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</row>
    <row r="61" spans="1:17" s="14" customFormat="1" ht="12.75" customHeight="1">
      <c r="A61" s="42"/>
      <c r="B61" s="1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</row>
    <row r="62" spans="1:17" s="14" customFormat="1" ht="12.75" customHeight="1">
      <c r="A62" s="42"/>
      <c r="B62" s="12"/>
      <c r="C62" s="42"/>
      <c r="D62" s="42"/>
      <c r="E62" s="42"/>
      <c r="F62" s="42"/>
      <c r="G62" s="42"/>
      <c r="H62" s="42"/>
      <c r="I62" s="42"/>
      <c r="J62" s="42"/>
      <c r="K62" s="42"/>
      <c r="L62" s="43"/>
      <c r="M62" s="43"/>
      <c r="N62" s="43"/>
      <c r="O62" s="42"/>
      <c r="P62" s="42"/>
      <c r="Q62" s="42"/>
    </row>
    <row r="63" spans="1:17" s="14" customFormat="1" ht="12.75" customHeight="1">
      <c r="A63" s="42"/>
      <c r="B63" s="12"/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43"/>
      <c r="N63" s="43"/>
      <c r="O63" s="42"/>
      <c r="P63" s="42"/>
      <c r="Q63" s="42"/>
    </row>
    <row r="64" spans="1:17" s="14" customFormat="1" ht="12.75" customHeight="1">
      <c r="A64" s="42"/>
      <c r="B64" s="12"/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43"/>
      <c r="N64" s="43"/>
      <c r="O64" s="42"/>
      <c r="P64" s="42"/>
      <c r="Q64" s="42"/>
    </row>
    <row r="65" spans="1:17" s="14" customFormat="1" ht="12.75" customHeight="1">
      <c r="A65" s="42"/>
      <c r="B65" s="12"/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43"/>
      <c r="N65" s="43"/>
      <c r="O65" s="42"/>
      <c r="P65" s="42"/>
      <c r="Q65" s="42"/>
    </row>
    <row r="66" spans="1:17" s="14" customFormat="1" ht="12.75" customHeight="1">
      <c r="A66" s="42"/>
      <c r="B66" s="12"/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43"/>
      <c r="N66" s="43"/>
      <c r="O66" s="42"/>
      <c r="P66" s="42"/>
      <c r="Q66" s="42"/>
    </row>
    <row r="67" spans="1:17" s="14" customFormat="1" ht="12.75" customHeight="1">
      <c r="A67" s="42"/>
      <c r="B67" s="12"/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43"/>
      <c r="N67" s="43"/>
      <c r="O67" s="42"/>
      <c r="P67" s="42"/>
      <c r="Q67" s="42"/>
    </row>
    <row r="68" spans="1:17" s="14" customFormat="1" ht="12.75" customHeight="1">
      <c r="A68" s="42"/>
      <c r="B68" s="12"/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43"/>
      <c r="N68" s="43"/>
      <c r="O68" s="42"/>
      <c r="P68" s="42"/>
      <c r="Q68" s="42"/>
    </row>
    <row r="69" spans="1:17" s="14" customFormat="1" ht="12.75" customHeight="1">
      <c r="A69" s="42"/>
      <c r="B69" s="12"/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43"/>
      <c r="N69" s="43"/>
      <c r="O69" s="42"/>
      <c r="P69" s="42"/>
      <c r="Q69" s="42"/>
    </row>
    <row r="70" spans="1:17" s="14" customFormat="1" ht="12.75" customHeight="1">
      <c r="A70" s="42"/>
      <c r="B70" s="12"/>
      <c r="C70" s="42"/>
      <c r="D70" s="42"/>
      <c r="E70" s="42"/>
      <c r="F70" s="42"/>
      <c r="G70" s="42"/>
      <c r="H70" s="42"/>
      <c r="I70" s="42"/>
      <c r="J70" s="42"/>
      <c r="K70" s="42"/>
      <c r="L70" s="43"/>
      <c r="M70" s="43"/>
      <c r="N70" s="43"/>
      <c r="O70" s="42"/>
      <c r="P70" s="42"/>
      <c r="Q70" s="42"/>
    </row>
    <row r="71" spans="1:17" s="14" customFormat="1" ht="12.75" customHeight="1">
      <c r="A71" s="42"/>
      <c r="B71" s="12"/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43"/>
      <c r="N71" s="43"/>
      <c r="O71" s="42"/>
      <c r="P71" s="42"/>
      <c r="Q71" s="42"/>
    </row>
    <row r="72" spans="1:17" s="14" customFormat="1" ht="12.75" customHeight="1">
      <c r="A72" s="42"/>
      <c r="B72" s="12"/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43"/>
      <c r="N72" s="43"/>
      <c r="O72" s="42"/>
      <c r="P72" s="42"/>
      <c r="Q72" s="42"/>
    </row>
    <row r="73" spans="1:17" s="14" customFormat="1" ht="12.75" customHeight="1">
      <c r="A73" s="42"/>
      <c r="B73" s="12"/>
      <c r="C73" s="42"/>
      <c r="D73" s="42"/>
      <c r="E73" s="42"/>
      <c r="F73" s="42"/>
      <c r="G73" s="42"/>
      <c r="H73" s="42"/>
      <c r="I73" s="42"/>
      <c r="J73" s="42"/>
      <c r="K73" s="42"/>
      <c r="L73" s="43"/>
      <c r="M73" s="43"/>
      <c r="N73" s="43"/>
      <c r="O73" s="42"/>
      <c r="P73" s="42"/>
      <c r="Q73" s="42"/>
    </row>
    <row r="74" spans="1:17" s="14" customFormat="1" ht="12.75" customHeight="1">
      <c r="A74" s="42"/>
      <c r="B74" s="12"/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43"/>
      <c r="N74" s="43"/>
      <c r="O74" s="42"/>
      <c r="P74" s="42"/>
      <c r="Q74" s="42"/>
    </row>
    <row r="75" spans="1:17" s="14" customFormat="1" ht="12.75" customHeight="1">
      <c r="A75" s="42"/>
      <c r="B75" s="1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1:17" s="14" customFormat="1" ht="12.75" customHeight="1">
      <c r="A76" s="42"/>
      <c r="B76" s="1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</row>
    <row r="77" spans="1:17" s="14" customFormat="1" ht="12.75" customHeight="1">
      <c r="A77" s="42"/>
      <c r="B77" s="1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7" s="14" customFormat="1" ht="12.75" customHeight="1">
      <c r="A78" s="42"/>
      <c r="B78" s="1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</row>
    <row r="79" spans="1:17" s="14" customFormat="1" ht="12.75" customHeight="1">
      <c r="A79" s="42"/>
      <c r="B79" s="1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1:17" s="14" customFormat="1" ht="12.75" customHeight="1">
      <c r="A80" s="42"/>
      <c r="B80" s="1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</row>
    <row r="81" spans="1:17" s="14" customFormat="1" ht="12.75" customHeight="1">
      <c r="A81" s="42"/>
      <c r="B81" s="1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1:17" s="14" customFormat="1" ht="12.75">
      <c r="A82" s="42"/>
      <c r="B82" s="1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</row>
    <row r="83" spans="1:17" s="14" customFormat="1" ht="12.75">
      <c r="A83" s="42"/>
      <c r="B83" s="1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</row>
    <row r="84" spans="1:17" s="14" customFormat="1" ht="12.75">
      <c r="A84" s="42"/>
      <c r="B84" s="1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</row>
    <row r="85" spans="1:17" s="14" customFormat="1" ht="12.75">
      <c r="A85" s="42"/>
      <c r="B85" s="1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</row>
    <row r="86" spans="1:17" s="14" customFormat="1" ht="12.75">
      <c r="A86" s="42"/>
      <c r="B86" s="1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</row>
    <row r="87" spans="1:17" s="14" customFormat="1" ht="12.75">
      <c r="A87" s="42"/>
      <c r="B87" s="1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</row>
    <row r="88" spans="1:17" s="14" customFormat="1" ht="12.75">
      <c r="A88" s="42"/>
      <c r="B88" s="1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</row>
    <row r="89" spans="1:17" s="14" customFormat="1" ht="12.75">
      <c r="A89" s="42"/>
      <c r="B89" s="1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</row>
    <row r="90" spans="1:17" s="14" customFormat="1" ht="12.75">
      <c r="A90" s="42"/>
      <c r="B90" s="1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</row>
    <row r="91" spans="1:17" s="14" customFormat="1" ht="12.75">
      <c r="A91" s="42"/>
      <c r="B91" s="1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</row>
    <row r="92" spans="1:17" s="14" customFormat="1" ht="12.75">
      <c r="A92" s="42"/>
      <c r="B92" s="1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</row>
    <row r="93" spans="1:17" s="14" customFormat="1" ht="12.75">
      <c r="A93" s="42"/>
      <c r="B93" s="1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</row>
    <row r="94" spans="1:17" s="14" customFormat="1" ht="12.75">
      <c r="A94" s="42"/>
      <c r="B94" s="1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</row>
    <row r="95" spans="1:17" s="14" customFormat="1" ht="12.75">
      <c r="A95" s="42"/>
      <c r="B95" s="1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1:17" s="14" customFormat="1" ht="12.75">
      <c r="A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</row>
    <row r="97" spans="1:17" s="14" customFormat="1" ht="12.75">
      <c r="A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</row>
    <row r="98" spans="1:17" s="14" customFormat="1" ht="12.75">
      <c r="A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</row>
    <row r="99" spans="1:17" s="14" customFormat="1" ht="12.75">
      <c r="A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</row>
    <row r="100" spans="1:17" s="14" customFormat="1" ht="12.75">
      <c r="A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</row>
    <row r="101" spans="1:17" s="14" customFormat="1" ht="12.75">
      <c r="A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</row>
    <row r="102" spans="1:17" s="14" customFormat="1" ht="12.75">
      <c r="A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7" s="14" customFormat="1" ht="12.75">
      <c r="A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</row>
    <row r="104" spans="1:17" s="14" customFormat="1" ht="12.75">
      <c r="A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</row>
    <row r="105" spans="1:17" s="14" customFormat="1" ht="12.75">
      <c r="A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</row>
    <row r="106" spans="1:17" s="14" customFormat="1" ht="12.75">
      <c r="A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</row>
    <row r="107" spans="1:17" s="14" customFormat="1" ht="12.75">
      <c r="A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</row>
    <row r="108" spans="1:17" s="14" customFormat="1" ht="12.75">
      <c r="A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</row>
    <row r="109" spans="1:17" s="14" customFormat="1" ht="12.75">
      <c r="A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</row>
    <row r="110" spans="1:17" s="14" customFormat="1" ht="12.75">
      <c r="A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</row>
    <row r="111" spans="1:17" s="14" customFormat="1" ht="12.75">
      <c r="A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</row>
    <row r="112" spans="1:17" s="14" customFormat="1" ht="12.75">
      <c r="A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</row>
    <row r="113" spans="1:17" s="14" customFormat="1" ht="12.75">
      <c r="A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</row>
    <row r="114" spans="1:17" s="14" customFormat="1" ht="12.75">
      <c r="A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</row>
    <row r="115" spans="1:17" s="14" customFormat="1" ht="12.75">
      <c r="A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</row>
    <row r="116" spans="1:17" s="14" customFormat="1" ht="12.75">
      <c r="A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</row>
    <row r="117" spans="1:17" s="14" customFormat="1" ht="12.75">
      <c r="A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</row>
    <row r="118" spans="1:17" s="14" customFormat="1" ht="12.75">
      <c r="A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</row>
    <row r="119" spans="1:17" s="14" customFormat="1" ht="12.75">
      <c r="A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</row>
    <row r="120" spans="1:17" s="14" customFormat="1" ht="12.75">
      <c r="A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1:17" s="14" customFormat="1" ht="12.75">
      <c r="A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</row>
    <row r="122" spans="1:17" s="14" customFormat="1" ht="12.75">
      <c r="A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</row>
    <row r="123" spans="1:17" s="14" customFormat="1" ht="12.75">
      <c r="A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</row>
    <row r="124" spans="1:17" s="14" customFormat="1" ht="12.75">
      <c r="A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1:17" s="14" customFormat="1" ht="12.75">
      <c r="A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</row>
    <row r="126" spans="1:17" s="14" customFormat="1" ht="12.75">
      <c r="A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</row>
    <row r="127" spans="1:17" s="14" customFormat="1" ht="12.75">
      <c r="A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7" s="14" customFormat="1" ht="12.75">
      <c r="A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</row>
    <row r="129" spans="1:17" s="14" customFormat="1" ht="12.75">
      <c r="A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</row>
    <row r="130" spans="1:17" s="14" customFormat="1" ht="12.75">
      <c r="A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</row>
    <row r="131" spans="1:17" s="14" customFormat="1" ht="12.75">
      <c r="A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</row>
    <row r="132" spans="1:17" s="14" customFormat="1" ht="12.75">
      <c r="A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</row>
    <row r="133" spans="1:17" s="14" customFormat="1" ht="12.75">
      <c r="A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</row>
    <row r="134" spans="1:17" s="14" customFormat="1" ht="12.75">
      <c r="A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</row>
    <row r="135" spans="1:17" s="14" customFormat="1" ht="12.75">
      <c r="A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</row>
    <row r="136" spans="1:17" s="14" customFormat="1" ht="12.75">
      <c r="A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</row>
    <row r="137" spans="1:17" s="14" customFormat="1" ht="12.75">
      <c r="A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</row>
    <row r="138" spans="1:17" s="14" customFormat="1" ht="12.75">
      <c r="A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</row>
    <row r="139" spans="1:17" s="14" customFormat="1" ht="12.75">
      <c r="A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</row>
    <row r="140" spans="1:17" s="14" customFormat="1" ht="12.75">
      <c r="A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</row>
    <row r="141" spans="1:17" s="14" customFormat="1" ht="12.75">
      <c r="A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</row>
    <row r="142" spans="1:17" s="14" customFormat="1" ht="12.75">
      <c r="A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</row>
    <row r="143" spans="1:17" s="14" customFormat="1" ht="12.75">
      <c r="A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</row>
    <row r="144" spans="1:17" s="14" customFormat="1" ht="12.75">
      <c r="A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</row>
    <row r="145" spans="1:17" s="14" customFormat="1" ht="12.75">
      <c r="A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</row>
    <row r="146" spans="1:17" s="14" customFormat="1" ht="12.75">
      <c r="A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</row>
    <row r="147" spans="1:17" s="14" customFormat="1" ht="12.75">
      <c r="A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</row>
    <row r="148" spans="1:17" s="14" customFormat="1" ht="12.75">
      <c r="A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</row>
    <row r="149" spans="1:17" s="14" customFormat="1" ht="12.75">
      <c r="A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</row>
    <row r="150" spans="1:17" s="14" customFormat="1" ht="12.75">
      <c r="A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</row>
    <row r="151" spans="1:17" s="14" customFormat="1" ht="12.75">
      <c r="A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</row>
    <row r="152" spans="1:17" s="14" customFormat="1" ht="12.75">
      <c r="A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</row>
    <row r="153" spans="1:17" s="14" customFormat="1" ht="12.75">
      <c r="A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</row>
    <row r="154" spans="1:17" s="14" customFormat="1" ht="12.75">
      <c r="A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</row>
    <row r="155" spans="1:17" s="14" customFormat="1" ht="12.75">
      <c r="A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</row>
    <row r="156" spans="1:17" s="14" customFormat="1" ht="12.75">
      <c r="A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</row>
    <row r="157" spans="1:17" s="14" customFormat="1" ht="12.75">
      <c r="A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</row>
    <row r="158" spans="1:17" s="14" customFormat="1" ht="12.75">
      <c r="A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</row>
    <row r="159" spans="1:17" s="14" customFormat="1" ht="12.75">
      <c r="A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</row>
    <row r="160" spans="1:17" s="14" customFormat="1" ht="12.75">
      <c r="A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</row>
    <row r="161" spans="1:17" s="14" customFormat="1" ht="12.75">
      <c r="A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</row>
    <row r="162" spans="1:17" s="14" customFormat="1" ht="12.75">
      <c r="A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</row>
    <row r="163" spans="1:17" s="14" customFormat="1" ht="12.75">
      <c r="A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</row>
    <row r="164" spans="1:17" s="14" customFormat="1" ht="12.75">
      <c r="A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</row>
    <row r="165" spans="1:17" s="14" customFormat="1" ht="12.75">
      <c r="A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</row>
    <row r="166" spans="1:17" s="14" customFormat="1" ht="12.75">
      <c r="A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</row>
    <row r="167" spans="1:17" s="14" customFormat="1" ht="12.75">
      <c r="A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</row>
    <row r="168" spans="1:17" s="14" customFormat="1" ht="12.75">
      <c r="A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</row>
    <row r="169" spans="1:17" s="14" customFormat="1" ht="12.75">
      <c r="A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</row>
    <row r="170" spans="1:17" s="14" customFormat="1" ht="12.75">
      <c r="A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</row>
    <row r="171" spans="1:17" s="14" customFormat="1" ht="12.75">
      <c r="A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</row>
    <row r="172" spans="1:17" s="14" customFormat="1" ht="12.75">
      <c r="A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</row>
    <row r="173" spans="1:17" s="14" customFormat="1" ht="12.75">
      <c r="A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</row>
    <row r="174" spans="1:17" s="14" customFormat="1" ht="12.75">
      <c r="A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</row>
    <row r="175" spans="1:17" s="14" customFormat="1" ht="12.75">
      <c r="A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</row>
    <row r="176" spans="1:17" s="14" customFormat="1" ht="12.75">
      <c r="A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</row>
    <row r="177" spans="1:17" s="14" customFormat="1" ht="12.75">
      <c r="A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</row>
    <row r="178" spans="1:17" s="14" customFormat="1" ht="12.75">
      <c r="A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</row>
    <row r="179" spans="1:17" s="14" customFormat="1" ht="12.75">
      <c r="A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</row>
    <row r="180" spans="1:17" s="14" customFormat="1" ht="12.75">
      <c r="A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1:17" s="14" customFormat="1" ht="12.75">
      <c r="A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</row>
    <row r="182" spans="1:17" s="14" customFormat="1" ht="12.75">
      <c r="A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</row>
    <row r="183" spans="1:17" s="14" customFormat="1" ht="12.75">
      <c r="A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</row>
    <row r="184" spans="1:17" s="14" customFormat="1" ht="12.75">
      <c r="A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</row>
    <row r="185" spans="1:17" s="14" customFormat="1" ht="12.75">
      <c r="A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</row>
    <row r="186" spans="1:17" s="14" customFormat="1" ht="12.75">
      <c r="A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</row>
    <row r="187" spans="1:17" s="14" customFormat="1" ht="12.75">
      <c r="A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</row>
    <row r="188" spans="1:17" s="14" customFormat="1" ht="12.75">
      <c r="A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</row>
    <row r="189" spans="1:17" s="14" customFormat="1" ht="12.75">
      <c r="A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</row>
    <row r="190" spans="1:17" s="14" customFormat="1" ht="12.75">
      <c r="A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</row>
    <row r="191" spans="1:17" s="14" customFormat="1" ht="12.75">
      <c r="A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</row>
    <row r="192" spans="1:17" s="14" customFormat="1" ht="12.75">
      <c r="A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</row>
    <row r="193" spans="1:17" s="14" customFormat="1" ht="12.75">
      <c r="A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</row>
    <row r="194" spans="1:17" s="14" customFormat="1" ht="12.75">
      <c r="A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</row>
    <row r="195" spans="1:17" s="14" customFormat="1" ht="12.75">
      <c r="A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</row>
    <row r="196" spans="1:17" s="14" customFormat="1" ht="12.75">
      <c r="A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</row>
    <row r="197" spans="1:17" s="14" customFormat="1" ht="12.75">
      <c r="A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</row>
    <row r="198" spans="1:17" s="14" customFormat="1" ht="12.75">
      <c r="A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</row>
    <row r="199" spans="1:17" s="14" customFormat="1" ht="12.75">
      <c r="A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</row>
    <row r="200" spans="1:17" s="14" customFormat="1" ht="12.75">
      <c r="A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</row>
    <row r="201" spans="1:17" s="14" customFormat="1" ht="12.75">
      <c r="A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</row>
    <row r="202" spans="1:17" s="14" customFormat="1" ht="12.75">
      <c r="A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</row>
    <row r="203" spans="1:17" s="14" customFormat="1" ht="12.75">
      <c r="A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</row>
    <row r="204" spans="1:17" s="14" customFormat="1" ht="12.75">
      <c r="A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</row>
    <row r="205" spans="1:17" s="14" customFormat="1" ht="12.75">
      <c r="A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</row>
    <row r="206" spans="1:17" s="14" customFormat="1" ht="12.75">
      <c r="A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</row>
    <row r="207" spans="1:17" s="14" customFormat="1" ht="12.75">
      <c r="A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</row>
    <row r="208" spans="1:17" s="14" customFormat="1" ht="12.75">
      <c r="A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</row>
    <row r="209" spans="1:17" s="14" customFormat="1" ht="12.75">
      <c r="A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</row>
    <row r="210" spans="1:17" s="14" customFormat="1" ht="12.75">
      <c r="A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</row>
    <row r="211" spans="1:17" s="14" customFormat="1" ht="12.75">
      <c r="A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</row>
    <row r="212" spans="1:17" s="14" customFormat="1" ht="12.75">
      <c r="A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</row>
    <row r="213" spans="1:17" s="14" customFormat="1" ht="12.75">
      <c r="A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</row>
    <row r="214" spans="1:17" s="14" customFormat="1" ht="12.75">
      <c r="A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</row>
    <row r="215" spans="1:17" s="14" customFormat="1" ht="12.75">
      <c r="A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</row>
    <row r="216" spans="1:17" s="14" customFormat="1" ht="12.75">
      <c r="A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</row>
    <row r="217" spans="1:17" s="14" customFormat="1" ht="12.75">
      <c r="A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</row>
    <row r="218" spans="1:17" s="14" customFormat="1" ht="12.75">
      <c r="A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</row>
    <row r="219" spans="1:17" s="14" customFormat="1" ht="12.75">
      <c r="A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</row>
    <row r="220" spans="1:17" s="14" customFormat="1" ht="12.75">
      <c r="A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</row>
    <row r="221" spans="1:17" s="14" customFormat="1" ht="12.75">
      <c r="A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</row>
    <row r="222" spans="1:17" s="14" customFormat="1" ht="12.75">
      <c r="A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</row>
    <row r="223" spans="1:17" s="14" customFormat="1" ht="12.75">
      <c r="A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</row>
    <row r="224" spans="1:17" s="14" customFormat="1" ht="12.75">
      <c r="A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</row>
    <row r="225" spans="1:17" s="14" customFormat="1" ht="12.75">
      <c r="A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</row>
    <row r="226" spans="1:17" s="14" customFormat="1" ht="12.75">
      <c r="A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</row>
    <row r="227" spans="1:17" s="14" customFormat="1" ht="12.75">
      <c r="A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</row>
    <row r="228" spans="1:17" s="14" customFormat="1" ht="12.75">
      <c r="A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</row>
    <row r="229" spans="1:17" s="14" customFormat="1" ht="12.75">
      <c r="A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</row>
    <row r="230" spans="1:17" s="14" customFormat="1" ht="12.75">
      <c r="A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</row>
    <row r="231" spans="1:17" s="14" customFormat="1" ht="12.75">
      <c r="A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</row>
    <row r="232" spans="1:17" s="14" customFormat="1" ht="12.75">
      <c r="A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</row>
    <row r="233" spans="1:17" s="14" customFormat="1" ht="12.75">
      <c r="A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</row>
    <row r="234" spans="1:17" s="14" customFormat="1" ht="12.75">
      <c r="A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</row>
    <row r="235" spans="1:17" s="14" customFormat="1" ht="12.75">
      <c r="A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</row>
    <row r="236" spans="1:17" s="14" customFormat="1" ht="12.75">
      <c r="A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</row>
    <row r="237" spans="1:17" s="14" customFormat="1" ht="12.75">
      <c r="A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</row>
    <row r="238" spans="1:17" s="14" customFormat="1" ht="12.75">
      <c r="A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</row>
    <row r="239" spans="1:17" s="14" customFormat="1" ht="12.75">
      <c r="A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</row>
    <row r="240" spans="1:17" s="14" customFormat="1" ht="12.75">
      <c r="A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</row>
    <row r="241" spans="1:17" s="14" customFormat="1" ht="12.75">
      <c r="A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</row>
    <row r="242" spans="1:17" s="14" customFormat="1" ht="12.75">
      <c r="A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</row>
    <row r="243" spans="1:17" s="14" customFormat="1" ht="12.75">
      <c r="A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</row>
    <row r="244" spans="1:17" s="14" customFormat="1" ht="12.75">
      <c r="A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</row>
    <row r="245" spans="1:17" s="14" customFormat="1" ht="12.75">
      <c r="A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</row>
    <row r="246" spans="1:17" s="14" customFormat="1" ht="12.75">
      <c r="A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</row>
    <row r="247" spans="1:17" s="14" customFormat="1" ht="12.75">
      <c r="A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</row>
    <row r="248" spans="1:17" s="14" customFormat="1" ht="12.75">
      <c r="A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</row>
    <row r="249" spans="1:17" s="14" customFormat="1" ht="12.75">
      <c r="A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</row>
    <row r="250" spans="1:17" s="14" customFormat="1" ht="12.75">
      <c r="A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</row>
    <row r="251" spans="1:17" s="14" customFormat="1" ht="12.75">
      <c r="A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</row>
    <row r="252" spans="1:17" s="14" customFormat="1" ht="12.75">
      <c r="A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</row>
    <row r="253" spans="1:17" s="14" customFormat="1" ht="12.75">
      <c r="A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</row>
    <row r="254" spans="1:17" s="14" customFormat="1" ht="12.75">
      <c r="A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</row>
    <row r="255" spans="1:17" s="14" customFormat="1" ht="12.75">
      <c r="A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</row>
    <row r="256" spans="1:17" s="14" customFormat="1" ht="12.75">
      <c r="A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</row>
    <row r="257" spans="1:17" s="14" customFormat="1" ht="12.75">
      <c r="A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</row>
    <row r="258" spans="1:17" s="14" customFormat="1" ht="12.75">
      <c r="A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</row>
    <row r="259" spans="1:17" s="14" customFormat="1" ht="12.75">
      <c r="A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</row>
    <row r="260" spans="1:17" s="14" customFormat="1" ht="12.75">
      <c r="A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</row>
    <row r="261" spans="1:17" s="14" customFormat="1" ht="12.75">
      <c r="A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</row>
    <row r="262" spans="1:17" s="14" customFormat="1" ht="12.75">
      <c r="A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</row>
    <row r="263" spans="1:17" s="14" customFormat="1" ht="12.75">
      <c r="A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</row>
    <row r="264" spans="1:17" s="14" customFormat="1" ht="12.75">
      <c r="A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</row>
    <row r="265" spans="1:17" s="14" customFormat="1" ht="12.75">
      <c r="A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</row>
    <row r="266" spans="1:17" s="14" customFormat="1" ht="12.75">
      <c r="A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</row>
    <row r="267" spans="1:17" s="14" customFormat="1" ht="12.75">
      <c r="A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</row>
    <row r="268" spans="1:17" s="14" customFormat="1" ht="12.75">
      <c r="A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</row>
    <row r="269" spans="1:17" s="14" customFormat="1" ht="12.75">
      <c r="A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</row>
    <row r="270" spans="1:17" s="14" customFormat="1" ht="12.75">
      <c r="A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</row>
    <row r="271" spans="1:17" s="14" customFormat="1" ht="12.75">
      <c r="A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</row>
    <row r="272" spans="1:17" s="14" customFormat="1" ht="12.75">
      <c r="A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</row>
    <row r="273" spans="1:17" s="14" customFormat="1" ht="12.75">
      <c r="A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</row>
    <row r="274" spans="1:17" s="14" customFormat="1" ht="12.75">
      <c r="A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</row>
    <row r="275" spans="1:17" s="14" customFormat="1" ht="12.75">
      <c r="A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</row>
    <row r="276" spans="1:17" s="14" customFormat="1" ht="12.75">
      <c r="A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</row>
    <row r="277" spans="1:17" s="14" customFormat="1" ht="12.75">
      <c r="A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</row>
    <row r="278" spans="1:17" s="14" customFormat="1" ht="12.75">
      <c r="A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</row>
    <row r="279" spans="1:17" s="14" customFormat="1" ht="12.75">
      <c r="A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</row>
    <row r="280" spans="1:17" s="14" customFormat="1" ht="12.75">
      <c r="A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</row>
    <row r="281" spans="1:17" s="14" customFormat="1" ht="12.75">
      <c r="A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</row>
    <row r="282" spans="1:17" s="14" customFormat="1" ht="12.75">
      <c r="A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</row>
    <row r="283" spans="1:17" s="14" customFormat="1" ht="12.75">
      <c r="A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</row>
    <row r="284" spans="1:17" s="14" customFormat="1" ht="12.75">
      <c r="A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</row>
    <row r="285" spans="1:17" s="14" customFormat="1" ht="12.75">
      <c r="A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</row>
    <row r="286" spans="1:17" s="14" customFormat="1" ht="12.75">
      <c r="A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</row>
    <row r="287" spans="1:17" s="14" customFormat="1" ht="12.75">
      <c r="A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</row>
    <row r="288" spans="1:17" s="14" customFormat="1" ht="12.75">
      <c r="A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</row>
    <row r="289" spans="1:17" s="14" customFormat="1" ht="12.75">
      <c r="A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</row>
    <row r="290" spans="1:17" s="14" customFormat="1" ht="12.75">
      <c r="A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</row>
    <row r="291" spans="1:17" s="14" customFormat="1" ht="12.75">
      <c r="A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</row>
    <row r="292" spans="1:17" s="14" customFormat="1" ht="12.75">
      <c r="A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</row>
    <row r="293" spans="1:17" s="14" customFormat="1" ht="12.75">
      <c r="A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</row>
    <row r="294" spans="1:17" s="14" customFormat="1" ht="12.75">
      <c r="A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</row>
    <row r="295" spans="1:17" s="14" customFormat="1" ht="12.75">
      <c r="A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</row>
    <row r="296" spans="1:17" s="14" customFormat="1" ht="12.75">
      <c r="A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</row>
    <row r="297" spans="1:17" s="14" customFormat="1" ht="12.75">
      <c r="A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</row>
    <row r="298" spans="1:17" s="14" customFormat="1" ht="12.75">
      <c r="A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</row>
    <row r="299" spans="1:17" s="14" customFormat="1" ht="12.75">
      <c r="A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</row>
    <row r="300" spans="1:17" s="14" customFormat="1" ht="12.75">
      <c r="A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</row>
    <row r="301" spans="1:17" s="14" customFormat="1" ht="12.75">
      <c r="A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</row>
    <row r="302" spans="1:17" s="14" customFormat="1" ht="12.75">
      <c r="A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</row>
    <row r="303" spans="1:17" s="14" customFormat="1" ht="12.75">
      <c r="A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</row>
    <row r="304" spans="1:17" s="14" customFormat="1" ht="12.75">
      <c r="A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</row>
    <row r="305" spans="1:17" s="14" customFormat="1" ht="12.75">
      <c r="A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</row>
    <row r="306" spans="1:17" s="14" customFormat="1" ht="12.75">
      <c r="A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</row>
    <row r="307" spans="1:17" s="14" customFormat="1" ht="12.75">
      <c r="A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</row>
    <row r="308" spans="1:17" s="14" customFormat="1" ht="12.75">
      <c r="A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</row>
    <row r="309" spans="1:17" s="14" customFormat="1" ht="12.75">
      <c r="A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</row>
    <row r="310" spans="1:17" s="14" customFormat="1" ht="12.75">
      <c r="A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</row>
    <row r="311" spans="1:17" s="14" customFormat="1" ht="12.75">
      <c r="A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</row>
    <row r="312" spans="1:17" s="14" customFormat="1" ht="12.75">
      <c r="A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</row>
    <row r="313" spans="1:17" s="14" customFormat="1" ht="12.75">
      <c r="A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</row>
    <row r="314" spans="1:17" s="14" customFormat="1" ht="12.75">
      <c r="A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</row>
    <row r="315" spans="1:17" s="14" customFormat="1" ht="12.75">
      <c r="A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</row>
    <row r="316" spans="1:17" s="14" customFormat="1" ht="12.75">
      <c r="A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</row>
    <row r="317" spans="1:17" s="14" customFormat="1" ht="12.75">
      <c r="A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</row>
    <row r="318" spans="1:17" s="14" customFormat="1" ht="12.75">
      <c r="A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</row>
    <row r="319" spans="1:17" s="14" customFormat="1" ht="12.75">
      <c r="A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</row>
    <row r="320" spans="1:17" s="14" customFormat="1" ht="12.75">
      <c r="A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</row>
    <row r="321" spans="1:17" s="14" customFormat="1" ht="12.75">
      <c r="A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</row>
    <row r="322" spans="1:17" s="14" customFormat="1" ht="12.75">
      <c r="A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</row>
    <row r="323" spans="1:17" s="14" customFormat="1" ht="12.75">
      <c r="A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</row>
    <row r="324" spans="1:17" s="14" customFormat="1" ht="12.75">
      <c r="A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 spans="1:17" s="14" customFormat="1" ht="12.75">
      <c r="A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</row>
    <row r="326" spans="1:17" s="14" customFormat="1" ht="12.75">
      <c r="A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</row>
    <row r="327" spans="1:17" s="14" customFormat="1" ht="12.75">
      <c r="A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</row>
    <row r="328" spans="1:17" s="14" customFormat="1" ht="12.75">
      <c r="A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</row>
    <row r="329" spans="1:17" s="14" customFormat="1" ht="12.75">
      <c r="A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</row>
    <row r="330" spans="1:17" s="14" customFormat="1" ht="12.75">
      <c r="A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</row>
    <row r="331" spans="1:17" s="14" customFormat="1" ht="12.75">
      <c r="A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</row>
    <row r="332" spans="1:17" s="14" customFormat="1" ht="12.75">
      <c r="A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</row>
    <row r="333" spans="1:17" s="14" customFormat="1" ht="12.75">
      <c r="A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</row>
    <row r="334" spans="1:17" s="14" customFormat="1" ht="12.75">
      <c r="A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</row>
    <row r="335" spans="1:17" s="14" customFormat="1" ht="12.75">
      <c r="A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</row>
    <row r="336" spans="1:17" s="14" customFormat="1" ht="12.75">
      <c r="A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</row>
    <row r="337" spans="1:17" s="14" customFormat="1" ht="12.75">
      <c r="A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</row>
    <row r="338" spans="1:17" s="14" customFormat="1" ht="12.75">
      <c r="A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</row>
    <row r="339" spans="1:17" s="14" customFormat="1" ht="12.75">
      <c r="A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</row>
    <row r="340" spans="1:17" s="14" customFormat="1" ht="12.75">
      <c r="A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</row>
    <row r="341" spans="1:17" s="14" customFormat="1" ht="12.75">
      <c r="A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</row>
    <row r="342" spans="1:17" s="14" customFormat="1" ht="12.75">
      <c r="A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</row>
    <row r="343" spans="1:17" s="14" customFormat="1" ht="12.75">
      <c r="A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</row>
    <row r="344" spans="1:17" s="14" customFormat="1" ht="12.75">
      <c r="A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</row>
    <row r="345" spans="1:17" s="14" customFormat="1" ht="12.75">
      <c r="A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</row>
    <row r="346" spans="1:17" s="14" customFormat="1" ht="12.75">
      <c r="A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</row>
    <row r="347" spans="1:17" s="14" customFormat="1" ht="12.75">
      <c r="A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</row>
    <row r="348" spans="1:17" s="14" customFormat="1" ht="12.75">
      <c r="A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</row>
    <row r="349" spans="1:17" s="14" customFormat="1" ht="12.75">
      <c r="A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</row>
    <row r="350" spans="1:17" s="14" customFormat="1" ht="12.75">
      <c r="A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</row>
    <row r="351" spans="1:17" s="14" customFormat="1" ht="12.75">
      <c r="A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</row>
    <row r="352" spans="1:17" s="14" customFormat="1" ht="12.75">
      <c r="A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</row>
    <row r="353" spans="1:17" s="14" customFormat="1" ht="12.75">
      <c r="A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</row>
    <row r="354" spans="1:17" s="14" customFormat="1" ht="12.75">
      <c r="A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</row>
    <row r="355" spans="1:17" s="14" customFormat="1" ht="12.75">
      <c r="A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</row>
    <row r="356" spans="1:17" s="14" customFormat="1" ht="12.75">
      <c r="A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</row>
    <row r="357" spans="1:17" s="14" customFormat="1" ht="12.75">
      <c r="A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</row>
    <row r="358" spans="1:17" s="14" customFormat="1" ht="12.75">
      <c r="A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</row>
    <row r="359" spans="1:17" s="14" customFormat="1" ht="12.75">
      <c r="A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</row>
    <row r="360" spans="1:17" s="14" customFormat="1" ht="12.75">
      <c r="A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</row>
    <row r="361" spans="1:17" s="14" customFormat="1" ht="12.75">
      <c r="A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</row>
    <row r="362" spans="1:17" s="14" customFormat="1" ht="12.75">
      <c r="A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</row>
    <row r="363" spans="1:17" s="14" customFormat="1" ht="12.75">
      <c r="A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</row>
    <row r="364" spans="1:17" s="14" customFormat="1" ht="12.75">
      <c r="A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</row>
    <row r="365" spans="1:17" s="14" customFormat="1" ht="12.75">
      <c r="A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</row>
    <row r="366" spans="1:17" s="14" customFormat="1" ht="12.75">
      <c r="A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</row>
    <row r="367" spans="1:17" s="14" customFormat="1" ht="12.75">
      <c r="A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</row>
    <row r="368" spans="1:17" s="14" customFormat="1" ht="12.75">
      <c r="A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</row>
    <row r="369" spans="1:17" s="14" customFormat="1" ht="12.75">
      <c r="A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</row>
    <row r="370" spans="1:17" s="14" customFormat="1" ht="12.75">
      <c r="A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</row>
    <row r="371" spans="1:17" s="14" customFormat="1" ht="12.75">
      <c r="A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</row>
    <row r="372" spans="1:17" s="14" customFormat="1" ht="12.75">
      <c r="A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</row>
    <row r="373" spans="1:17" s="14" customFormat="1" ht="12.75">
      <c r="A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</row>
    <row r="374" spans="1:17" s="14" customFormat="1" ht="12.75">
      <c r="A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</row>
    <row r="375" spans="1:17" s="14" customFormat="1" ht="12.75">
      <c r="A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</row>
    <row r="376" spans="1:17" s="14" customFormat="1" ht="12.75">
      <c r="A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</row>
    <row r="377" spans="1:17" s="14" customFormat="1" ht="12.75">
      <c r="A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</row>
    <row r="378" spans="1:17" s="14" customFormat="1" ht="12.75">
      <c r="A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</row>
    <row r="379" spans="1:17" s="14" customFormat="1" ht="12.75">
      <c r="A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</row>
    <row r="380" spans="1:17" s="14" customFormat="1" ht="12.75">
      <c r="A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</row>
    <row r="381" spans="1:17" s="14" customFormat="1" ht="12.75">
      <c r="A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</row>
    <row r="382" spans="1:17" s="14" customFormat="1" ht="12.75">
      <c r="A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</row>
    <row r="383" spans="1:17" s="14" customFormat="1" ht="12.75">
      <c r="A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</row>
    <row r="384" spans="1:17" s="14" customFormat="1" ht="12.75">
      <c r="A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</row>
    <row r="385" spans="1:17" s="14" customFormat="1" ht="12.75">
      <c r="A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</row>
    <row r="386" spans="1:17" s="14" customFormat="1" ht="12.75">
      <c r="A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</row>
    <row r="387" spans="1:17" s="14" customFormat="1" ht="12.75">
      <c r="A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</row>
    <row r="388" spans="1:17" s="14" customFormat="1" ht="12.75">
      <c r="A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</row>
    <row r="389" spans="1:17" s="14" customFormat="1" ht="12.75">
      <c r="A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</row>
    <row r="390" spans="1:17" s="14" customFormat="1" ht="12.75">
      <c r="A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</row>
    <row r="391" spans="1:17" s="14" customFormat="1" ht="12.75">
      <c r="A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</row>
    <row r="392" spans="1:17" s="14" customFormat="1" ht="12.75">
      <c r="A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</row>
    <row r="393" spans="1:17" s="14" customFormat="1" ht="12.75">
      <c r="A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</row>
    <row r="394" spans="1:17" s="14" customFormat="1" ht="12.75">
      <c r="A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</row>
    <row r="395" spans="1:17" s="14" customFormat="1" ht="12.75">
      <c r="A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</row>
    <row r="396" spans="1:17" s="14" customFormat="1" ht="12.75">
      <c r="A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</row>
    <row r="397" spans="1:17" s="14" customFormat="1" ht="12.75">
      <c r="A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</row>
    <row r="398" spans="1:17" s="14" customFormat="1" ht="12.75">
      <c r="A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</row>
    <row r="399" spans="1:17" s="14" customFormat="1" ht="12.75">
      <c r="A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</row>
    <row r="400" spans="1:17" s="14" customFormat="1" ht="12.75">
      <c r="A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</row>
    <row r="401" spans="1:17" s="14" customFormat="1" ht="12.75">
      <c r="A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</row>
    <row r="402" spans="1:17" s="14" customFormat="1" ht="12.75">
      <c r="A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</row>
    <row r="403" spans="1:17" s="14" customFormat="1" ht="12.75">
      <c r="A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</row>
    <row r="404" spans="1:17" s="14" customFormat="1" ht="12.75">
      <c r="A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</row>
    <row r="405" spans="1:17" s="14" customFormat="1" ht="12.75">
      <c r="A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</row>
    <row r="406" spans="1:17" s="14" customFormat="1" ht="12.75">
      <c r="A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</row>
    <row r="407" spans="1:17" s="14" customFormat="1" ht="12.75">
      <c r="A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</row>
    <row r="408" spans="1:17" s="14" customFormat="1" ht="12.75">
      <c r="A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</row>
    <row r="409" spans="1:17" s="14" customFormat="1" ht="12.75">
      <c r="A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</row>
    <row r="410" spans="1:17" s="14" customFormat="1" ht="12.75">
      <c r="A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</row>
    <row r="411" spans="1:17" s="14" customFormat="1" ht="12.75">
      <c r="A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</row>
    <row r="412" spans="1:17" s="14" customFormat="1" ht="12.75">
      <c r="A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</row>
    <row r="413" spans="1:17" s="14" customFormat="1" ht="12.75">
      <c r="A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</row>
    <row r="414" spans="1:17" s="14" customFormat="1" ht="12.75">
      <c r="A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</row>
    <row r="415" spans="1:17" s="14" customFormat="1" ht="12.75">
      <c r="A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</row>
    <row r="416" spans="1:17" s="14" customFormat="1" ht="12.75">
      <c r="A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</row>
    <row r="417" spans="1:17" s="14" customFormat="1" ht="12.75">
      <c r="A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</row>
    <row r="418" spans="1:17" s="14" customFormat="1" ht="12.75">
      <c r="A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</row>
    <row r="419" spans="1:17" s="14" customFormat="1" ht="12.75">
      <c r="A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</row>
    <row r="420" spans="1:17" s="14" customFormat="1" ht="12.75">
      <c r="A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</row>
    <row r="421" spans="1:17" s="14" customFormat="1" ht="12.75">
      <c r="A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</row>
    <row r="422" spans="1:17" s="14" customFormat="1" ht="12.75">
      <c r="A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</row>
    <row r="423" spans="1:17" s="14" customFormat="1" ht="12.75">
      <c r="A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</row>
    <row r="424" spans="1:17" s="14" customFormat="1" ht="12.75">
      <c r="A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</row>
    <row r="425" spans="1:17" s="14" customFormat="1" ht="12.75">
      <c r="A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</row>
    <row r="426" spans="1:17" s="14" customFormat="1" ht="12.75">
      <c r="A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</row>
    <row r="427" spans="1:17" s="14" customFormat="1" ht="12.75">
      <c r="A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</row>
    <row r="428" spans="1:17" s="14" customFormat="1" ht="12.75">
      <c r="A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</row>
    <row r="429" spans="1:17" s="14" customFormat="1" ht="12.75">
      <c r="A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</row>
    <row r="430" spans="1:17" s="14" customFormat="1" ht="12.75">
      <c r="A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</row>
    <row r="431" spans="1:17" s="14" customFormat="1" ht="12.75">
      <c r="A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</row>
    <row r="432" spans="1:17" s="14" customFormat="1" ht="12.75">
      <c r="A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</row>
    <row r="433" spans="1:17" s="14" customFormat="1" ht="12.75">
      <c r="A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</row>
    <row r="434" spans="1:17" s="14" customFormat="1" ht="12.75">
      <c r="A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</row>
    <row r="435" spans="1:17" s="14" customFormat="1" ht="12.75">
      <c r="A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</row>
    <row r="436" spans="1:17" s="14" customFormat="1" ht="12.75">
      <c r="A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</row>
    <row r="437" spans="1:17" s="14" customFormat="1" ht="12.75">
      <c r="A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</row>
    <row r="438" spans="1:17" s="14" customFormat="1" ht="12.75">
      <c r="A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</row>
    <row r="439" spans="1:17" s="14" customFormat="1" ht="12.75">
      <c r="A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</row>
    <row r="440" spans="1:17" s="14" customFormat="1" ht="12.75">
      <c r="A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</row>
    <row r="441" spans="1:17" s="14" customFormat="1" ht="12.75">
      <c r="A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</row>
    <row r="442" spans="1:17" s="14" customFormat="1" ht="12.75">
      <c r="A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</row>
    <row r="443" spans="1:17" s="14" customFormat="1" ht="12.75">
      <c r="A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</row>
    <row r="444" spans="1:17" s="14" customFormat="1" ht="12.75">
      <c r="A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</row>
    <row r="445" spans="1:17" s="14" customFormat="1" ht="12.75">
      <c r="A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</row>
    <row r="446" spans="1:17" s="14" customFormat="1" ht="12.75">
      <c r="A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</row>
    <row r="447" spans="1:17" s="14" customFormat="1" ht="12.75">
      <c r="A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</row>
    <row r="448" spans="1:17" s="14" customFormat="1" ht="12.75">
      <c r="A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</row>
    <row r="449" spans="1:17" s="14" customFormat="1" ht="12.75">
      <c r="A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</row>
    <row r="450" spans="1:17" s="14" customFormat="1" ht="12.75">
      <c r="A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</row>
    <row r="451" spans="1:17" s="14" customFormat="1" ht="12.75">
      <c r="A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</row>
    <row r="452" spans="1:17" s="14" customFormat="1" ht="12.75">
      <c r="A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</row>
    <row r="453" spans="1:17" s="14" customFormat="1" ht="12.75">
      <c r="A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</row>
    <row r="454" spans="1:17" s="14" customFormat="1" ht="12.75">
      <c r="A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</row>
    <row r="455" spans="1:17" s="14" customFormat="1" ht="12.75">
      <c r="A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</row>
    <row r="456" spans="1:17" s="14" customFormat="1" ht="12.75">
      <c r="A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</row>
    <row r="457" spans="1:17" s="14" customFormat="1" ht="12.75">
      <c r="A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</row>
    <row r="458" spans="1:17" s="14" customFormat="1" ht="12.75">
      <c r="A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</row>
    <row r="459" spans="1:17" s="14" customFormat="1" ht="12.75">
      <c r="A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</row>
    <row r="460" spans="1:17" s="14" customFormat="1" ht="12.75">
      <c r="A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</row>
    <row r="461" spans="1:17" s="14" customFormat="1" ht="12.75">
      <c r="A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</row>
    <row r="462" spans="1:17" s="14" customFormat="1" ht="12.75">
      <c r="A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</row>
    <row r="463" spans="1:17" s="14" customFormat="1" ht="12.75">
      <c r="A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</row>
    <row r="464" spans="1:17" s="14" customFormat="1" ht="12.75">
      <c r="A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</row>
    <row r="465" spans="1:17" s="14" customFormat="1" ht="12.75">
      <c r="A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</row>
    <row r="466" spans="1:17" s="14" customFormat="1" ht="12.75">
      <c r="A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</row>
    <row r="467" spans="1:17" s="14" customFormat="1" ht="12.75">
      <c r="A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</row>
    <row r="468" spans="1:17" s="14" customFormat="1" ht="12.75">
      <c r="A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</row>
    <row r="469" spans="1:17" s="14" customFormat="1" ht="12.75">
      <c r="A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</row>
    <row r="470" spans="1:17" s="14" customFormat="1" ht="12.75">
      <c r="A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</row>
    <row r="471" spans="1:17" s="14" customFormat="1" ht="12.75">
      <c r="A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</row>
    <row r="472" spans="1:17" s="14" customFormat="1" ht="12.75">
      <c r="A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</row>
    <row r="473" spans="1:17" s="14" customFormat="1" ht="12.75">
      <c r="A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</row>
    <row r="474" spans="1:17" s="14" customFormat="1" ht="12.75">
      <c r="A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</row>
    <row r="475" spans="1:17" s="14" customFormat="1" ht="12.75">
      <c r="A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</row>
    <row r="476" spans="1:17" s="14" customFormat="1" ht="12.75">
      <c r="A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</row>
    <row r="477" spans="1:17" s="14" customFormat="1" ht="12.75">
      <c r="A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</row>
    <row r="478" spans="1:17" s="14" customFormat="1" ht="12.75">
      <c r="A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</row>
    <row r="479" spans="1:17" s="14" customFormat="1" ht="12.75">
      <c r="A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</row>
    <row r="480" spans="1:17" s="14" customFormat="1" ht="12.75">
      <c r="A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</row>
    <row r="481" spans="1:17" s="14" customFormat="1" ht="12.75">
      <c r="A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</row>
    <row r="482" spans="1:17" s="14" customFormat="1" ht="12.75">
      <c r="A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</row>
    <row r="483" spans="1:17" s="14" customFormat="1" ht="12.75">
      <c r="A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</row>
    <row r="484" spans="1:17" s="14" customFormat="1" ht="12.75">
      <c r="A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</row>
    <row r="485" spans="1:17" s="14" customFormat="1" ht="12.75">
      <c r="A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</row>
    <row r="486" spans="1:17" s="14" customFormat="1" ht="12.75">
      <c r="A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</row>
    <row r="487" spans="1:17" s="14" customFormat="1" ht="12.75">
      <c r="A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</row>
    <row r="488" spans="1:17" s="14" customFormat="1" ht="12.75">
      <c r="A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</row>
    <row r="489" spans="1:17" s="14" customFormat="1" ht="12.75">
      <c r="A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</row>
    <row r="490" spans="1:17" s="14" customFormat="1" ht="12.75">
      <c r="A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</row>
    <row r="491" spans="1:17" s="14" customFormat="1" ht="12.75">
      <c r="A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</row>
    <row r="492" spans="1:17" s="14" customFormat="1" ht="12.75">
      <c r="A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</row>
    <row r="493" spans="1:17" s="14" customFormat="1" ht="12.75">
      <c r="A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</row>
    <row r="494" spans="1:17" s="14" customFormat="1" ht="12.75">
      <c r="A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</row>
    <row r="495" spans="1:17" s="14" customFormat="1" ht="12.75">
      <c r="A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</row>
    <row r="496" spans="1:17" s="14" customFormat="1" ht="12.75">
      <c r="A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</row>
    <row r="497" spans="1:17" s="14" customFormat="1" ht="12.75">
      <c r="A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</row>
    <row r="498" spans="1:17" s="14" customFormat="1" ht="12.75">
      <c r="A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</row>
    <row r="499" spans="1:17" s="14" customFormat="1" ht="12.75">
      <c r="A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</row>
    <row r="500" spans="1:17" s="14" customFormat="1" ht="12.75">
      <c r="A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</row>
    <row r="501" spans="1:17" s="14" customFormat="1" ht="12.75">
      <c r="A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</row>
    <row r="502" spans="1:17" s="14" customFormat="1" ht="12.75">
      <c r="A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</row>
    <row r="503" spans="1:17" s="14" customFormat="1" ht="12.75">
      <c r="A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</row>
    <row r="504" spans="1:17" s="14" customFormat="1" ht="12.75">
      <c r="A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</row>
    <row r="505" spans="1:17" s="14" customFormat="1" ht="12.75">
      <c r="A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</row>
    <row r="506" spans="1:17" s="14" customFormat="1" ht="12.75">
      <c r="A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</row>
    <row r="507" spans="1:17" s="14" customFormat="1" ht="12.75">
      <c r="A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</row>
    <row r="508" spans="1:17" s="14" customFormat="1" ht="12.75">
      <c r="A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</row>
    <row r="509" spans="1:17" s="14" customFormat="1" ht="12.75">
      <c r="A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</row>
    <row r="510" spans="1:17" s="14" customFormat="1" ht="12.75">
      <c r="A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</row>
    <row r="511" spans="1:17" s="14" customFormat="1" ht="12.75">
      <c r="A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</row>
    <row r="512" spans="1:17" s="14" customFormat="1" ht="12.75">
      <c r="A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</row>
    <row r="513" spans="1:17" s="14" customFormat="1" ht="12.75">
      <c r="A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</row>
    <row r="514" spans="1:17" s="14" customFormat="1" ht="12.75">
      <c r="A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</row>
    <row r="515" spans="1:17" s="14" customFormat="1" ht="12.75">
      <c r="A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</row>
    <row r="516" spans="1:17" s="14" customFormat="1" ht="12.75">
      <c r="A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</row>
    <row r="517" spans="1:17" s="14" customFormat="1" ht="12.75">
      <c r="A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</row>
    <row r="518" spans="1:17" s="14" customFormat="1" ht="12.75">
      <c r="A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</row>
    <row r="519" spans="1:17" s="14" customFormat="1" ht="12.75">
      <c r="A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</row>
    <row r="520" spans="1:17" s="14" customFormat="1" ht="12.75">
      <c r="A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</row>
    <row r="521" spans="1:17" s="14" customFormat="1" ht="12.75">
      <c r="A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</row>
    <row r="522" spans="1:17" s="14" customFormat="1" ht="12.75">
      <c r="A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</row>
    <row r="523" spans="1:17" s="14" customFormat="1" ht="12.75">
      <c r="A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</row>
    <row r="524" spans="1:17" s="14" customFormat="1" ht="12.75">
      <c r="A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</row>
    <row r="525" spans="1:17" s="14" customFormat="1" ht="12.75">
      <c r="A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</row>
    <row r="526" spans="1:17" s="14" customFormat="1" ht="12.75">
      <c r="A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</row>
    <row r="527" spans="1:17" s="14" customFormat="1" ht="12.75">
      <c r="A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</row>
    <row r="528" spans="1:17" s="14" customFormat="1" ht="12.75">
      <c r="A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</row>
    <row r="529" spans="1:17" s="14" customFormat="1" ht="12.75">
      <c r="A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</row>
    <row r="530" spans="1:17" s="14" customFormat="1" ht="12.75">
      <c r="A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</row>
    <row r="531" spans="1:17" s="14" customFormat="1" ht="12.75">
      <c r="A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</row>
    <row r="532" spans="1:17" s="14" customFormat="1" ht="12.75">
      <c r="A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</row>
    <row r="533" spans="1:17" s="14" customFormat="1" ht="12.75">
      <c r="A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</row>
    <row r="534" spans="1:17" s="14" customFormat="1" ht="12.75">
      <c r="A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</row>
    <row r="535" spans="1:17" s="14" customFormat="1" ht="12.75">
      <c r="A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</row>
    <row r="536" spans="1:17" s="14" customFormat="1" ht="12.75">
      <c r="A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</row>
    <row r="537" spans="1:17" s="14" customFormat="1" ht="12.75">
      <c r="A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</row>
    <row r="538" spans="1:17" s="14" customFormat="1" ht="12.75">
      <c r="A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</row>
    <row r="539" spans="1:17" s="14" customFormat="1" ht="12.75">
      <c r="A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</row>
    <row r="540" spans="1:17" s="14" customFormat="1" ht="12.75">
      <c r="A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</row>
    <row r="541" spans="1:17" s="14" customFormat="1" ht="12.75">
      <c r="A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</row>
    <row r="542" spans="1:17" s="14" customFormat="1" ht="12.75">
      <c r="A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</row>
    <row r="543" spans="1:17" s="14" customFormat="1" ht="12.75">
      <c r="A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</row>
    <row r="544" spans="1:17" s="14" customFormat="1" ht="12.75">
      <c r="A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</row>
    <row r="545" spans="1:17" s="14" customFormat="1" ht="12.75">
      <c r="A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</row>
    <row r="546" spans="1:17" s="14" customFormat="1" ht="12.75">
      <c r="A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</row>
    <row r="547" spans="1:17" s="14" customFormat="1" ht="12.75">
      <c r="A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</row>
    <row r="548" spans="1:17" s="14" customFormat="1" ht="12.75">
      <c r="A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</row>
    <row r="549" spans="1:17" s="14" customFormat="1" ht="12.75">
      <c r="A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</row>
    <row r="550" spans="1:17" s="14" customFormat="1" ht="12.75">
      <c r="A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</row>
    <row r="551" spans="1:17" s="14" customFormat="1" ht="12.75">
      <c r="A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</row>
    <row r="552" spans="1:17" s="14" customFormat="1" ht="12.75">
      <c r="A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</row>
    <row r="553" spans="1:17" s="14" customFormat="1" ht="12.75">
      <c r="A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</row>
    <row r="554" spans="1:17" s="14" customFormat="1" ht="12.75">
      <c r="A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</row>
    <row r="555" spans="1:17" s="14" customFormat="1" ht="12.75">
      <c r="A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</row>
    <row r="556" spans="1:17" s="14" customFormat="1" ht="12.75">
      <c r="A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</row>
    <row r="557" spans="1:17" s="14" customFormat="1" ht="12.75">
      <c r="A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</row>
    <row r="558" spans="1:17" s="14" customFormat="1" ht="12.75">
      <c r="A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</row>
    <row r="559" spans="1:17" s="14" customFormat="1" ht="12.75">
      <c r="A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</row>
    <row r="560" spans="1:17" s="14" customFormat="1" ht="12.75">
      <c r="A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</row>
    <row r="561" spans="1:17" s="14" customFormat="1" ht="12.75">
      <c r="A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</row>
    <row r="562" spans="1:17" s="14" customFormat="1" ht="12.75">
      <c r="A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</row>
    <row r="563" spans="1:17" s="14" customFormat="1" ht="12.75">
      <c r="A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</row>
    <row r="564" spans="1:17" s="14" customFormat="1" ht="12.75">
      <c r="A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</row>
    <row r="565" spans="1:17" s="14" customFormat="1" ht="12.75">
      <c r="A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</row>
    <row r="566" spans="1:17" s="14" customFormat="1" ht="12.75">
      <c r="A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</row>
    <row r="567" spans="1:17" s="14" customFormat="1" ht="12.75">
      <c r="A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</row>
    <row r="568" spans="1:17" s="14" customFormat="1" ht="12.75">
      <c r="A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</row>
    <row r="569" spans="1:17" s="14" customFormat="1" ht="12.75">
      <c r="A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</row>
    <row r="570" spans="1:17" s="14" customFormat="1" ht="12.75">
      <c r="A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</row>
    <row r="571" spans="1:17" s="14" customFormat="1" ht="12.75">
      <c r="A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</row>
    <row r="572" spans="1:17" s="14" customFormat="1" ht="12.75">
      <c r="A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</row>
    <row r="573" spans="1:17" s="14" customFormat="1" ht="12.75">
      <c r="A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</row>
    <row r="574" spans="1:17" s="14" customFormat="1" ht="12.75">
      <c r="A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</row>
    <row r="575" spans="1:17" s="14" customFormat="1" ht="12.75">
      <c r="A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</row>
    <row r="576" spans="1:17" s="14" customFormat="1" ht="12.75">
      <c r="A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</row>
    <row r="577" spans="1:17" s="14" customFormat="1" ht="12.75">
      <c r="A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</row>
    <row r="578" spans="1:17" s="14" customFormat="1" ht="12.75">
      <c r="A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</row>
    <row r="579" spans="1:17" s="14" customFormat="1" ht="12.75">
      <c r="A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</row>
    <row r="580" spans="1:17" s="14" customFormat="1" ht="12.75">
      <c r="A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</row>
    <row r="581" spans="1:17" s="14" customFormat="1" ht="12.75">
      <c r="A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</row>
    <row r="582" spans="1:17" s="14" customFormat="1" ht="12.75">
      <c r="A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</row>
    <row r="583" spans="1:17" s="14" customFormat="1" ht="12.75">
      <c r="A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</row>
    <row r="584" spans="1:17" s="14" customFormat="1" ht="12.75">
      <c r="A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</row>
    <row r="585" spans="1:17" s="14" customFormat="1" ht="12.75">
      <c r="A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</row>
    <row r="586" spans="1:17" s="14" customFormat="1" ht="12.75">
      <c r="A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</row>
    <row r="587" spans="1:17" s="14" customFormat="1" ht="12.75">
      <c r="A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</row>
    <row r="588" spans="1:17" s="14" customFormat="1" ht="12.75">
      <c r="A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</row>
    <row r="589" spans="1:17" s="14" customFormat="1" ht="12.75">
      <c r="A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</row>
    <row r="590" spans="1:17" s="14" customFormat="1" ht="12.75">
      <c r="A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</row>
    <row r="591" spans="1:17" s="14" customFormat="1" ht="12.75">
      <c r="A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</row>
    <row r="592" spans="1:17" s="14" customFormat="1" ht="12.75">
      <c r="A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</row>
    <row r="593" spans="1:17" s="14" customFormat="1" ht="12.75">
      <c r="A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</row>
    <row r="594" spans="1:17" s="14" customFormat="1" ht="12.75">
      <c r="A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</row>
    <row r="595" spans="1:17" s="14" customFormat="1" ht="12.75">
      <c r="A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</row>
    <row r="596" spans="1:17" s="14" customFormat="1" ht="12.75">
      <c r="A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</row>
    <row r="597" spans="1:17" s="14" customFormat="1" ht="12.75">
      <c r="A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</row>
    <row r="598" spans="1:17" s="14" customFormat="1" ht="12.75">
      <c r="A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</row>
    <row r="599" spans="1:17" s="14" customFormat="1" ht="12.75">
      <c r="A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</row>
    <row r="600" spans="1:17" s="14" customFormat="1" ht="12.75">
      <c r="A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</row>
    <row r="601" spans="1:17" s="14" customFormat="1" ht="12.75">
      <c r="A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</row>
    <row r="602" spans="1:17" s="14" customFormat="1" ht="12.75">
      <c r="A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</row>
    <row r="603" spans="1:17" s="14" customFormat="1" ht="12.75">
      <c r="A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</row>
    <row r="604" spans="1:17" s="14" customFormat="1" ht="12.75">
      <c r="A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</row>
    <row r="605" spans="1:17" s="14" customFormat="1" ht="12.75">
      <c r="A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</row>
    <row r="606" spans="1:17" s="14" customFormat="1" ht="12.75">
      <c r="A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</row>
    <row r="607" spans="1:17" s="14" customFormat="1" ht="12.75">
      <c r="A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</row>
    <row r="608" spans="1:17" s="14" customFormat="1" ht="12.75">
      <c r="A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</row>
    <row r="609" spans="1:17" s="14" customFormat="1" ht="12.75">
      <c r="A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</row>
    <row r="610" spans="1:17" s="14" customFormat="1" ht="12.75">
      <c r="A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</row>
    <row r="611" spans="1:17" s="14" customFormat="1" ht="12.75">
      <c r="A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</row>
    <row r="612" spans="1:17" s="14" customFormat="1" ht="12.75">
      <c r="A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</row>
    <row r="613" spans="1:17" s="14" customFormat="1" ht="12.75">
      <c r="A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</row>
    <row r="614" spans="1:17" s="14" customFormat="1" ht="12.75">
      <c r="A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</row>
    <row r="615" spans="1:17" s="14" customFormat="1" ht="12.75">
      <c r="A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</row>
    <row r="616" spans="1:17" s="14" customFormat="1" ht="12.75">
      <c r="A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</row>
    <row r="617" spans="1:17" s="14" customFormat="1" ht="12.75">
      <c r="A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</row>
    <row r="618" spans="1:17" s="14" customFormat="1" ht="12.75">
      <c r="A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</row>
    <row r="619" spans="1:17" s="14" customFormat="1" ht="12.75">
      <c r="A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</row>
    <row r="620" spans="1:17" s="14" customFormat="1" ht="12.75">
      <c r="A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</row>
    <row r="621" spans="1:17" s="14" customFormat="1" ht="12.75">
      <c r="A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</row>
    <row r="622" spans="1:17" s="14" customFormat="1" ht="12.75">
      <c r="A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</row>
    <row r="623" spans="1:17" s="14" customFormat="1" ht="12.75">
      <c r="A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</row>
    <row r="624" spans="1:17" s="14" customFormat="1" ht="12.75">
      <c r="A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</row>
    <row r="625" spans="1:17" s="14" customFormat="1" ht="12.75">
      <c r="A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</row>
    <row r="626" spans="1:17" s="14" customFormat="1" ht="12.75">
      <c r="A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</row>
    <row r="627" spans="1:17" s="14" customFormat="1" ht="12.75">
      <c r="A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</row>
    <row r="628" spans="1:17" s="14" customFormat="1" ht="12.75">
      <c r="A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</row>
    <row r="629" spans="1:17" s="14" customFormat="1" ht="12.75">
      <c r="A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</row>
    <row r="630" spans="1:17" s="14" customFormat="1" ht="12.75">
      <c r="A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</row>
    <row r="631" spans="1:17" s="14" customFormat="1" ht="12.75">
      <c r="A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</row>
    <row r="632" spans="1:17" s="14" customFormat="1" ht="12.75">
      <c r="A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</row>
    <row r="633" spans="1:17" s="14" customFormat="1" ht="12.75">
      <c r="A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</row>
    <row r="634" spans="1:17" s="14" customFormat="1" ht="12.75">
      <c r="A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</row>
    <row r="635" spans="1:17" s="14" customFormat="1" ht="12.75">
      <c r="A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</row>
    <row r="636" spans="1:17" s="14" customFormat="1" ht="12.75">
      <c r="A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</row>
    <row r="637" spans="1:17" s="14" customFormat="1" ht="12.75">
      <c r="A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</row>
    <row r="638" spans="1:17" s="14" customFormat="1" ht="12.75">
      <c r="A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</row>
    <row r="639" spans="1:17" s="14" customFormat="1" ht="12.75">
      <c r="A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</row>
    <row r="640" spans="1:17" s="14" customFormat="1" ht="12.75">
      <c r="A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</row>
    <row r="641" spans="1:17" s="14" customFormat="1" ht="12.75">
      <c r="A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</row>
    <row r="642" spans="1:17" s="14" customFormat="1" ht="12.75">
      <c r="A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</row>
    <row r="643" spans="1:17" s="14" customFormat="1" ht="12.75">
      <c r="A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</row>
    <row r="644" spans="1:17" s="14" customFormat="1" ht="12.75">
      <c r="A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</row>
    <row r="645" spans="1:17" s="14" customFormat="1" ht="12.75">
      <c r="A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</row>
    <row r="646" spans="1:17" s="14" customFormat="1" ht="12.75">
      <c r="A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</row>
    <row r="647" spans="1:17" s="14" customFormat="1" ht="12.75">
      <c r="A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</row>
    <row r="648" spans="1:17" s="14" customFormat="1" ht="12.75">
      <c r="A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</row>
    <row r="649" spans="1:17" s="14" customFormat="1" ht="12.75">
      <c r="A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</row>
    <row r="650" spans="1:17" s="14" customFormat="1" ht="12.75">
      <c r="A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</row>
    <row r="651" spans="1:17" s="14" customFormat="1" ht="12.75">
      <c r="A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</row>
    <row r="652" spans="1:17" s="14" customFormat="1" ht="12.75">
      <c r="A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</row>
    <row r="653" spans="1:17" s="14" customFormat="1" ht="12.75">
      <c r="A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</row>
    <row r="654" spans="1:17" s="14" customFormat="1" ht="12.75">
      <c r="A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</row>
    <row r="655" spans="1:17" s="14" customFormat="1" ht="12.75">
      <c r="A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</row>
    <row r="656" spans="1:17" s="14" customFormat="1" ht="12.75">
      <c r="A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</row>
    <row r="657" spans="1:17" s="14" customFormat="1" ht="12.75">
      <c r="A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</row>
    <row r="658" spans="1:17" s="14" customFormat="1" ht="12.75">
      <c r="A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</row>
    <row r="659" spans="1:17" s="14" customFormat="1" ht="12.75">
      <c r="A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</row>
    <row r="660" spans="1:17" s="14" customFormat="1" ht="12.75">
      <c r="A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</row>
    <row r="661" spans="1:17" s="14" customFormat="1" ht="12.75">
      <c r="A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</row>
    <row r="662" spans="1:17" s="14" customFormat="1" ht="12.75">
      <c r="A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</row>
    <row r="663" spans="1:17" s="14" customFormat="1" ht="12.75">
      <c r="A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</row>
    <row r="664" spans="1:17" s="14" customFormat="1" ht="12.75">
      <c r="A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</row>
    <row r="665" spans="1:17" s="14" customFormat="1" ht="12.75">
      <c r="A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</row>
    <row r="666" spans="1:17" s="1" customFormat="1" ht="12.75">
      <c r="A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s="1" customFormat="1" ht="12.75">
      <c r="A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s="1" customFormat="1" ht="12.75">
      <c r="A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s="1" customFormat="1" ht="12.75">
      <c r="A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s="1" customFormat="1" ht="12.75">
      <c r="A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s="1" customFormat="1" ht="12.75">
      <c r="A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s="1" customFormat="1" ht="12.75">
      <c r="A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s="1" customFormat="1" ht="12.75">
      <c r="A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s="1" customFormat="1" ht="12.75">
      <c r="A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s="1" customFormat="1" ht="12.75">
      <c r="A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s="1" customFormat="1" ht="12.75">
      <c r="A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s="1" customFormat="1" ht="12.75">
      <c r="A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s="1" customFormat="1" ht="12.75">
      <c r="A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s="1" customFormat="1" ht="12.75">
      <c r="A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s="1" customFormat="1" ht="12.75">
      <c r="A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s="1" customFormat="1" ht="12.75">
      <c r="A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s="1" customFormat="1" ht="12.75">
      <c r="A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s="1" customFormat="1" ht="12.75">
      <c r="A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s="1" customFormat="1" ht="12.75">
      <c r="A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s="1" customFormat="1" ht="12.75">
      <c r="A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s="1" customFormat="1" ht="12.75">
      <c r="A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s="1" customFormat="1" ht="12.75">
      <c r="A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s="1" customFormat="1" ht="12.75">
      <c r="A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s="1" customFormat="1" ht="12.75">
      <c r="A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s="1" customFormat="1" ht="12.75">
      <c r="A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s="1" customFormat="1" ht="12.75">
      <c r="A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s="1" customFormat="1" ht="12.75">
      <c r="A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s="1" customFormat="1" ht="12.75">
      <c r="A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s="1" customFormat="1" ht="12.75">
      <c r="A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s="1" customFormat="1" ht="12.75">
      <c r="A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s="1" customFormat="1" ht="12.75">
      <c r="A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s="1" customFormat="1" ht="12.75">
      <c r="A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s="1" customFormat="1" ht="12.75">
      <c r="A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s="1" customFormat="1" ht="12.75">
      <c r="A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s="1" customFormat="1" ht="12.75">
      <c r="A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s="1" customFormat="1" ht="12.75">
      <c r="A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s="1" customFormat="1" ht="12.75">
      <c r="A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s="1" customFormat="1" ht="12.75">
      <c r="A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s="1" customFormat="1" ht="12.75">
      <c r="A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s="1" customFormat="1" ht="12.75">
      <c r="A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s="1" customFormat="1" ht="12.75">
      <c r="A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s="1" customFormat="1" ht="12.75">
      <c r="A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s="1" customFormat="1" ht="12.75">
      <c r="A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s="1" customFormat="1" ht="12.75">
      <c r="A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s="1" customFormat="1" ht="12.75">
      <c r="A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s="1" customFormat="1" ht="12.75">
      <c r="A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s="1" customFormat="1" ht="12.75">
      <c r="A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s="1" customFormat="1" ht="12.75">
      <c r="A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s="1" customFormat="1" ht="12.75">
      <c r="A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s="1" customFormat="1" ht="12.75">
      <c r="A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s="1" customFormat="1" ht="12.75">
      <c r="A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s="1" customFormat="1" ht="12.75">
      <c r="A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s="1" customFormat="1" ht="12.75">
      <c r="A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s="1" customFormat="1" ht="12.75">
      <c r="A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s="1" customFormat="1" ht="12.75">
      <c r="A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s="1" customFormat="1" ht="12.75">
      <c r="A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s="1" customFormat="1" ht="12.75">
      <c r="A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s="1" customFormat="1" ht="12.75">
      <c r="A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s="1" customFormat="1" ht="12.75">
      <c r="A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s="1" customFormat="1" ht="12.75">
      <c r="A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s="1" customFormat="1" ht="12.75">
      <c r="A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s="1" customFormat="1" ht="12.75">
      <c r="A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s="1" customFormat="1" ht="12.75">
      <c r="A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s="1" customFormat="1" ht="12.75">
      <c r="A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s="1" customFormat="1" ht="12.75">
      <c r="A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s="1" customFormat="1" ht="12.75">
      <c r="A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s="1" customFormat="1" ht="12.75">
      <c r="A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s="1" customFormat="1" ht="12.75">
      <c r="A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s="1" customFormat="1" ht="12.75">
      <c r="A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s="1" customFormat="1" ht="12.75">
      <c r="A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s="1" customFormat="1" ht="12.75">
      <c r="A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s="1" customFormat="1" ht="12.75">
      <c r="A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s="1" customFormat="1" ht="12.75">
      <c r="A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s="1" customFormat="1" ht="12.75">
      <c r="A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s="1" customFormat="1" ht="12.75">
      <c r="A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s="1" customFormat="1" ht="12.75">
      <c r="A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s="1" customFormat="1" ht="12.75">
      <c r="A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</sheetData>
  <sheetProtection password="C8FD" sheet="1" objects="1" scenarios="1"/>
  <printOptions/>
  <pageMargins left="0.8661417322834646" right="0.75" top="0.5905511811023623" bottom="1.1811023622047245" header="0" footer="0"/>
  <pageSetup blackAndWhite="1" firstPageNumber="1" useFirstPageNumber="1" horizontalDpi="180" verticalDpi="18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3">
      <selection activeCell="G31" sqref="G31"/>
    </sheetView>
  </sheetViews>
  <sheetFormatPr defaultColWidth="11.421875" defaultRowHeight="12.75"/>
  <cols>
    <col min="1" max="1" width="6.7109375" style="0" customWidth="1"/>
    <col min="2" max="3" width="15.7109375" style="0" customWidth="1"/>
    <col min="4" max="4" width="7.7109375" style="341" customWidth="1"/>
    <col min="5" max="6" width="10.7109375" style="0" customWidth="1"/>
  </cols>
  <sheetData>
    <row r="1" spans="1:7" ht="15.75">
      <c r="A1" s="41" t="s">
        <v>16</v>
      </c>
      <c r="B1" s="14"/>
      <c r="C1" s="80"/>
      <c r="D1" s="339"/>
      <c r="E1" s="44"/>
      <c r="F1" s="44"/>
      <c r="G1" s="44" t="s">
        <v>17</v>
      </c>
    </row>
    <row r="2" spans="1:7" ht="15.75">
      <c r="A2" s="41" t="s">
        <v>129</v>
      </c>
      <c r="B2" s="14"/>
      <c r="C2" s="80"/>
      <c r="D2" s="340"/>
      <c r="E2" s="80"/>
      <c r="F2" s="80"/>
      <c r="G2" s="44"/>
    </row>
    <row r="3" spans="1:7" ht="15.75">
      <c r="A3" s="41" t="s">
        <v>130</v>
      </c>
      <c r="G3" s="44" t="s">
        <v>131</v>
      </c>
    </row>
    <row r="4" ht="13.5" thickBot="1"/>
    <row r="5" spans="1:6" ht="13.5" thickBot="1">
      <c r="A5" s="72" t="s">
        <v>132</v>
      </c>
      <c r="B5" s="50"/>
      <c r="C5" s="49"/>
      <c r="D5" s="342"/>
      <c r="E5" s="338">
        <v>1</v>
      </c>
      <c r="F5" s="338">
        <v>2</v>
      </c>
    </row>
    <row r="6" ht="13.5" thickBot="1"/>
    <row r="7" spans="1:6" ht="13.5" thickBot="1">
      <c r="A7" s="72" t="s">
        <v>20</v>
      </c>
      <c r="B7" s="50"/>
      <c r="C7" s="49"/>
      <c r="D7" s="352"/>
      <c r="E7" s="337"/>
      <c r="F7" s="337"/>
    </row>
    <row r="8" spans="1:6" ht="12.75">
      <c r="A8" s="349">
        <v>1</v>
      </c>
      <c r="B8" s="444" t="s">
        <v>21</v>
      </c>
      <c r="C8" s="445"/>
      <c r="D8" s="350"/>
      <c r="E8" s="351">
        <v>201</v>
      </c>
      <c r="F8" s="351">
        <v>223</v>
      </c>
    </row>
    <row r="9" spans="1:6" ht="12.75">
      <c r="A9" s="343">
        <v>2</v>
      </c>
      <c r="B9" s="446" t="s">
        <v>22</v>
      </c>
      <c r="C9" s="447"/>
      <c r="D9" s="344" t="s">
        <v>23</v>
      </c>
      <c r="E9" s="200">
        <v>166.08</v>
      </c>
      <c r="F9" s="200">
        <v>175.37</v>
      </c>
    </row>
    <row r="10" spans="1:6" ht="12.75">
      <c r="A10" s="343">
        <v>3</v>
      </c>
      <c r="B10" s="446" t="s">
        <v>24</v>
      </c>
      <c r="C10" s="447"/>
      <c r="D10" s="344" t="s">
        <v>23</v>
      </c>
      <c r="E10" s="200">
        <v>662.32</v>
      </c>
      <c r="F10" s="200">
        <v>817.66</v>
      </c>
    </row>
    <row r="11" spans="1:6" ht="12.75">
      <c r="A11" s="343">
        <v>4</v>
      </c>
      <c r="B11" s="448" t="s">
        <v>25</v>
      </c>
      <c r="C11" s="449"/>
      <c r="D11" s="344" t="s">
        <v>23</v>
      </c>
      <c r="E11" s="200">
        <v>615.86</v>
      </c>
      <c r="F11" s="200">
        <v>761.81</v>
      </c>
    </row>
    <row r="12" spans="1:6" ht="12.75">
      <c r="A12" s="343">
        <v>5</v>
      </c>
      <c r="B12" s="446" t="s">
        <v>26</v>
      </c>
      <c r="C12" s="447"/>
      <c r="D12" s="344" t="s">
        <v>23</v>
      </c>
      <c r="E12" s="356">
        <f>IF(E8=0,"-",E10-E11)</f>
        <v>46.460000000000036</v>
      </c>
      <c r="F12" s="356">
        <f>IF(F8=0,"-",F10-F11)</f>
        <v>55.85000000000002</v>
      </c>
    </row>
    <row r="13" spans="1:6" ht="12.75">
      <c r="A13" s="343">
        <v>6</v>
      </c>
      <c r="B13" s="446" t="s">
        <v>27</v>
      </c>
      <c r="C13" s="447"/>
      <c r="D13" s="344" t="s">
        <v>23</v>
      </c>
      <c r="E13" s="356">
        <f>IF(E8=0,"-",E11-E9)</f>
        <v>449.78</v>
      </c>
      <c r="F13" s="356">
        <f>IF(F8=0,"-",F11-F9)</f>
        <v>586.4399999999999</v>
      </c>
    </row>
    <row r="14" spans="1:6" ht="13.5" thickBot="1">
      <c r="A14" s="345">
        <v>7</v>
      </c>
      <c r="B14" s="453" t="s">
        <v>28</v>
      </c>
      <c r="C14" s="454"/>
      <c r="D14" s="346" t="s">
        <v>29</v>
      </c>
      <c r="E14" s="357">
        <f>IF(E8=0,"-",100*E12/E13)</f>
        <v>10.329494419493983</v>
      </c>
      <c r="F14" s="357">
        <f>IF(F8=0,"-",100*F12/F13)</f>
        <v>9.523565923197603</v>
      </c>
    </row>
    <row r="15" spans="1:6" ht="13.5" thickBot="1">
      <c r="A15" s="347">
        <v>8</v>
      </c>
      <c r="B15" s="458" t="s">
        <v>133</v>
      </c>
      <c r="C15" s="459"/>
      <c r="D15" s="348" t="s">
        <v>29</v>
      </c>
      <c r="E15" s="450">
        <f>+SUM(E14:F14)/2</f>
        <v>9.926530171345792</v>
      </c>
      <c r="F15" s="451"/>
    </row>
    <row r="16" ht="13.5" thickBot="1"/>
    <row r="17" spans="1:7" ht="13.5" thickBot="1">
      <c r="A17" s="72" t="s">
        <v>134</v>
      </c>
      <c r="B17" s="50"/>
      <c r="C17" s="49"/>
      <c r="D17" s="342"/>
      <c r="E17" s="337"/>
      <c r="F17" s="337"/>
      <c r="G17" s="337"/>
    </row>
    <row r="18" spans="1:7" ht="13.5" thickBot="1">
      <c r="A18" s="379">
        <v>1</v>
      </c>
      <c r="B18" s="456" t="s">
        <v>136</v>
      </c>
      <c r="C18" s="457"/>
      <c r="D18" s="380" t="s">
        <v>110</v>
      </c>
      <c r="E18" s="431"/>
      <c r="F18" s="432"/>
      <c r="G18" s="433">
        <v>0.87</v>
      </c>
    </row>
    <row r="19" spans="1:7" ht="13.5" thickBot="1">
      <c r="A19" s="349">
        <v>2</v>
      </c>
      <c r="B19" s="452" t="s">
        <v>137</v>
      </c>
      <c r="C19" s="445"/>
      <c r="D19" s="350"/>
      <c r="E19" s="434"/>
      <c r="F19" s="435"/>
      <c r="G19" s="436">
        <v>1.0015337</v>
      </c>
    </row>
    <row r="20" spans="1:7" ht="12.75">
      <c r="A20" s="349">
        <v>3</v>
      </c>
      <c r="B20" s="452" t="s">
        <v>138</v>
      </c>
      <c r="C20" s="445"/>
      <c r="D20" s="353" t="s">
        <v>23</v>
      </c>
      <c r="E20" s="437">
        <v>1163.68</v>
      </c>
      <c r="F20" s="437">
        <v>1109.14</v>
      </c>
      <c r="G20" s="437">
        <v>1101.85</v>
      </c>
    </row>
    <row r="21" spans="1:7" ht="12.75">
      <c r="A21" s="349">
        <v>4</v>
      </c>
      <c r="B21" s="448" t="s">
        <v>139</v>
      </c>
      <c r="C21" s="447"/>
      <c r="D21" s="353" t="s">
        <v>23</v>
      </c>
      <c r="E21" s="438">
        <v>1220.32</v>
      </c>
      <c r="F21" s="438">
        <v>1177.86</v>
      </c>
      <c r="G21" s="438">
        <v>1167.03</v>
      </c>
    </row>
    <row r="22" spans="1:7" ht="12.75">
      <c r="A22" s="349">
        <v>5</v>
      </c>
      <c r="B22" s="448" t="s">
        <v>141</v>
      </c>
      <c r="C22" s="447"/>
      <c r="D22" s="353" t="s">
        <v>92</v>
      </c>
      <c r="E22" s="438">
        <v>598</v>
      </c>
      <c r="F22" s="438">
        <v>590</v>
      </c>
      <c r="G22" s="438">
        <v>580</v>
      </c>
    </row>
    <row r="23" spans="1:7" ht="12.75">
      <c r="A23" s="349">
        <v>6</v>
      </c>
      <c r="B23" s="448" t="s">
        <v>140</v>
      </c>
      <c r="C23" s="449"/>
      <c r="D23" s="353" t="s">
        <v>23</v>
      </c>
      <c r="E23" s="355">
        <f>+IF($E$20=0,"-",E21-E20)</f>
        <v>56.63999999999987</v>
      </c>
      <c r="F23" s="355">
        <f>+IF($E$20=0,"-",F21-F20)</f>
        <v>68.7199999999998</v>
      </c>
      <c r="G23" s="355">
        <f>+IF($E$20=0,"-",G21-G20)</f>
        <v>65.18000000000006</v>
      </c>
    </row>
    <row r="24" spans="1:7" ht="12.75">
      <c r="A24" s="349">
        <v>7</v>
      </c>
      <c r="B24" s="448" t="s">
        <v>142</v>
      </c>
      <c r="C24" s="447"/>
      <c r="D24" s="353" t="s">
        <v>92</v>
      </c>
      <c r="E24" s="355">
        <f>+IF($E$20=0,"-",E22-$G$19)</f>
        <v>596.9984663</v>
      </c>
      <c r="F24" s="355">
        <f>+IF($E$20=0,"-",F22-$G$19)</f>
        <v>588.9984663</v>
      </c>
      <c r="G24" s="355">
        <f>+IF($E$20=0,"-",G22-$G$19)</f>
        <v>578.9984663</v>
      </c>
    </row>
    <row r="25" spans="1:7" ht="12.75">
      <c r="A25" s="349">
        <v>8</v>
      </c>
      <c r="B25" s="448" t="s">
        <v>143</v>
      </c>
      <c r="C25" s="447"/>
      <c r="D25" s="353" t="s">
        <v>92</v>
      </c>
      <c r="E25" s="355">
        <f>+IF($E$20=0,"-",E23/$G$18)</f>
        <v>65.10344827586192</v>
      </c>
      <c r="F25" s="355">
        <f>+IF($E$20=0,"-",F23/$G$18)</f>
        <v>78.98850574712621</v>
      </c>
      <c r="G25" s="355">
        <f>+IF($E$20=0,"-",G23/$G$18)</f>
        <v>74.91954022988513</v>
      </c>
    </row>
    <row r="26" spans="1:7" ht="12.75">
      <c r="A26" s="345">
        <v>9</v>
      </c>
      <c r="B26" s="455" t="s">
        <v>144</v>
      </c>
      <c r="C26" s="454"/>
      <c r="D26" s="354" t="s">
        <v>92</v>
      </c>
      <c r="E26" s="355">
        <f>+IF($E$20=0,"-",E24-E23)</f>
        <v>540.3584663000001</v>
      </c>
      <c r="F26" s="355">
        <f>+IF($E$20=0,"-",F24-F23)</f>
        <v>520.2784663000002</v>
      </c>
      <c r="G26" s="355">
        <f>+IF($E$20=0,"-",G24-G23)</f>
        <v>513.8184663</v>
      </c>
    </row>
    <row r="27" spans="1:7" ht="13.5" thickBot="1">
      <c r="A27" s="381">
        <v>10</v>
      </c>
      <c r="B27" s="460" t="s">
        <v>145</v>
      </c>
      <c r="C27" s="461"/>
      <c r="D27" s="383" t="s">
        <v>110</v>
      </c>
      <c r="E27" s="358">
        <f>+IF($E$20=0,"-",E20/E26)</f>
        <v>2.1535333904696143</v>
      </c>
      <c r="F27" s="358">
        <f>+IF($E$20=0,"-",F20/F26)</f>
        <v>2.1318199230649184</v>
      </c>
      <c r="G27" s="358">
        <f>+IF($E$20=0,"-",G20/G26)</f>
        <v>2.1444344107256543</v>
      </c>
    </row>
    <row r="28" spans="5:7" ht="13.5" thickBot="1">
      <c r="E28" s="439"/>
      <c r="F28" s="440"/>
      <c r="G28" s="441">
        <f>+AVERAGE(E27:G27)</f>
        <v>2.1432625747533955</v>
      </c>
    </row>
    <row r="29" spans="1:5" ht="13.5" thickBot="1">
      <c r="A29" s="72" t="s">
        <v>135</v>
      </c>
      <c r="B29" s="50"/>
      <c r="C29" s="49"/>
      <c r="D29" s="342"/>
      <c r="E29" s="337"/>
    </row>
    <row r="30" spans="1:5" ht="12.75">
      <c r="A30" s="379">
        <v>1</v>
      </c>
      <c r="B30" s="456" t="s">
        <v>146</v>
      </c>
      <c r="C30" s="457"/>
      <c r="D30" s="380"/>
      <c r="E30" s="202">
        <v>2</v>
      </c>
    </row>
    <row r="31" spans="1:5" ht="12.75">
      <c r="A31" s="343">
        <v>2</v>
      </c>
      <c r="B31" s="448" t="s">
        <v>147</v>
      </c>
      <c r="C31" s="447"/>
      <c r="D31" s="344" t="s">
        <v>23</v>
      </c>
      <c r="E31" s="200">
        <v>344.67</v>
      </c>
    </row>
    <row r="32" spans="1:5" ht="12.75">
      <c r="A32" s="343">
        <v>3</v>
      </c>
      <c r="B32" s="448" t="s">
        <v>148</v>
      </c>
      <c r="C32" s="447"/>
      <c r="D32" s="344" t="s">
        <v>23</v>
      </c>
      <c r="E32" s="200">
        <v>388.6</v>
      </c>
    </row>
    <row r="33" spans="1:5" ht="12.75">
      <c r="A33" s="343">
        <v>4</v>
      </c>
      <c r="B33" s="448" t="s">
        <v>75</v>
      </c>
      <c r="C33" s="449"/>
      <c r="D33" s="344"/>
      <c r="E33" s="198">
        <v>16</v>
      </c>
    </row>
    <row r="34" spans="1:5" ht="12.75">
      <c r="A34" s="343">
        <v>5</v>
      </c>
      <c r="B34" s="448" t="s">
        <v>22</v>
      </c>
      <c r="C34" s="447"/>
      <c r="D34" s="344" t="s">
        <v>23</v>
      </c>
      <c r="E34" s="200">
        <v>184.54</v>
      </c>
    </row>
    <row r="35" spans="1:5" ht="12.75">
      <c r="A35" s="343">
        <v>6</v>
      </c>
      <c r="B35" s="448" t="s">
        <v>25</v>
      </c>
      <c r="C35" s="447"/>
      <c r="D35" s="344" t="s">
        <v>23</v>
      </c>
      <c r="E35" s="200">
        <v>256.6</v>
      </c>
    </row>
    <row r="36" spans="1:5" ht="12.75">
      <c r="A36" s="345">
        <v>7</v>
      </c>
      <c r="B36" s="448" t="s">
        <v>149</v>
      </c>
      <c r="C36" s="447"/>
      <c r="D36" s="344" t="s">
        <v>23</v>
      </c>
      <c r="E36" s="359">
        <f>+E35-E34</f>
        <v>72.06000000000003</v>
      </c>
    </row>
    <row r="37" spans="1:5" ht="13.5" thickBot="1">
      <c r="A37" s="381">
        <v>8</v>
      </c>
      <c r="B37" s="462" t="s">
        <v>150</v>
      </c>
      <c r="C37" s="461"/>
      <c r="D37" s="382"/>
      <c r="E37" s="102">
        <f>+E36/(E31-E32+E36)</f>
        <v>2.5616779239246346</v>
      </c>
    </row>
  </sheetData>
  <sheetProtection/>
  <mergeCells count="27">
    <mergeCell ref="B31:C31"/>
    <mergeCell ref="B32:C32"/>
    <mergeCell ref="B33:C33"/>
    <mergeCell ref="B34:C34"/>
    <mergeCell ref="B35:C35"/>
    <mergeCell ref="B37:C37"/>
    <mergeCell ref="B36:C36"/>
    <mergeCell ref="B24:C24"/>
    <mergeCell ref="B25:C25"/>
    <mergeCell ref="B26:C26"/>
    <mergeCell ref="B30:C30"/>
    <mergeCell ref="B15:C15"/>
    <mergeCell ref="B18:C18"/>
    <mergeCell ref="B19:C19"/>
    <mergeCell ref="B27:C27"/>
    <mergeCell ref="E15:F15"/>
    <mergeCell ref="B20:C20"/>
    <mergeCell ref="B21:C21"/>
    <mergeCell ref="B22:C22"/>
    <mergeCell ref="B23:C23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22">
      <selection activeCell="G43" sqref="G43"/>
    </sheetView>
  </sheetViews>
  <sheetFormatPr defaultColWidth="11.421875" defaultRowHeight="12.75"/>
  <cols>
    <col min="1" max="1" width="3.7109375" style="42" customWidth="1"/>
    <col min="2" max="2" width="30.7109375" style="14" customWidth="1"/>
    <col min="3" max="3" width="3.7109375" style="42" customWidth="1"/>
    <col min="4" max="7" width="15.7109375" style="42" customWidth="1"/>
    <col min="8" max="8" width="2.7109375" style="14" customWidth="1"/>
    <col min="9" max="10" width="10.7109375" style="14" customWidth="1"/>
    <col min="11" max="13" width="7.7109375" style="14" customWidth="1"/>
    <col min="14" max="16384" width="11.421875" style="14" customWidth="1"/>
  </cols>
  <sheetData>
    <row r="1" spans="1:7" ht="15.75" customHeight="1" thickBot="1">
      <c r="A1" s="21" t="s">
        <v>68</v>
      </c>
      <c r="B1" s="12"/>
      <c r="C1" s="159"/>
      <c r="D1" s="160" t="s">
        <v>69</v>
      </c>
      <c r="G1" s="96" t="s">
        <v>2</v>
      </c>
    </row>
    <row r="2" spans="1:7" ht="15.75" customHeight="1" thickBot="1">
      <c r="A2" s="21" t="s">
        <v>70</v>
      </c>
      <c r="B2" s="10"/>
      <c r="C2" s="159"/>
      <c r="D2" s="160" t="s">
        <v>69</v>
      </c>
      <c r="G2" s="97" t="str">
        <f>DATOS!C3</f>
        <v>C1-M1</v>
      </c>
    </row>
    <row r="3" spans="1:4" ht="15.75" customHeight="1">
      <c r="A3" s="21" t="s">
        <v>71</v>
      </c>
      <c r="B3" s="10"/>
      <c r="C3" s="159"/>
      <c r="D3" s="160" t="s">
        <v>72</v>
      </c>
    </row>
    <row r="4" spans="1:7" s="12" customFormat="1" ht="12.75" customHeight="1" thickBot="1">
      <c r="A4" s="42"/>
      <c r="B4" s="10"/>
      <c r="C4" s="42"/>
      <c r="D4" s="42"/>
      <c r="E4" s="42"/>
      <c r="F4" s="42"/>
      <c r="G4" s="42"/>
    </row>
    <row r="5" spans="1:11" s="12" customFormat="1" ht="12.75" customHeight="1" thickBot="1">
      <c r="A5" s="76" t="s">
        <v>73</v>
      </c>
      <c r="B5" s="77"/>
      <c r="C5" s="192"/>
      <c r="D5" s="78">
        <v>1</v>
      </c>
      <c r="E5" s="193">
        <v>2</v>
      </c>
      <c r="F5" s="78">
        <v>3</v>
      </c>
      <c r="G5" s="78">
        <v>4</v>
      </c>
      <c r="H5" s="43"/>
      <c r="I5" s="43"/>
      <c r="J5" s="43"/>
      <c r="K5" s="43"/>
    </row>
    <row r="6" spans="1:7" s="10" customFormat="1" ht="12.75" customHeight="1" thickBot="1">
      <c r="A6" s="42"/>
      <c r="C6" s="42"/>
      <c r="D6" s="42"/>
      <c r="E6" s="42"/>
      <c r="F6" s="42"/>
      <c r="G6" s="42"/>
    </row>
    <row r="7" spans="1:7" s="12" customFormat="1" ht="12.75" customHeight="1" thickBot="1">
      <c r="A7" s="72" t="s">
        <v>74</v>
      </c>
      <c r="B7" s="28"/>
      <c r="C7" s="49"/>
      <c r="D7" s="49"/>
      <c r="E7" s="49"/>
      <c r="F7" s="49"/>
      <c r="G7" s="27"/>
    </row>
    <row r="8" spans="1:7" s="10" customFormat="1" ht="12.75" customHeight="1">
      <c r="A8" s="98">
        <v>1</v>
      </c>
      <c r="B8" s="25" t="s">
        <v>75</v>
      </c>
      <c r="C8" s="94"/>
      <c r="D8" s="194">
        <v>13</v>
      </c>
      <c r="E8" s="195">
        <v>17</v>
      </c>
      <c r="F8" s="196">
        <v>18</v>
      </c>
      <c r="G8" s="195">
        <v>26</v>
      </c>
    </row>
    <row r="9" spans="1:7" s="10" customFormat="1" ht="12.75" customHeight="1">
      <c r="A9" s="90">
        <v>2</v>
      </c>
      <c r="B9" s="5" t="s">
        <v>76</v>
      </c>
      <c r="C9" s="68"/>
      <c r="D9" s="197">
        <v>43</v>
      </c>
      <c r="E9" s="198">
        <v>11</v>
      </c>
      <c r="F9" s="199">
        <v>23</v>
      </c>
      <c r="G9" s="198">
        <v>16</v>
      </c>
    </row>
    <row r="10" spans="1:7" s="10" customFormat="1" ht="12.75" customHeight="1">
      <c r="A10" s="90">
        <v>3</v>
      </c>
      <c r="B10" s="59" t="s">
        <v>22</v>
      </c>
      <c r="C10" s="68" t="s">
        <v>23</v>
      </c>
      <c r="D10" s="103">
        <v>20.44</v>
      </c>
      <c r="E10" s="200">
        <v>20.57</v>
      </c>
      <c r="F10" s="55">
        <v>20.81</v>
      </c>
      <c r="G10" s="200">
        <v>20.93</v>
      </c>
    </row>
    <row r="11" spans="1:7" s="10" customFormat="1" ht="12.75" customHeight="1">
      <c r="A11" s="90">
        <v>4</v>
      </c>
      <c r="B11" s="59" t="s">
        <v>24</v>
      </c>
      <c r="C11" s="68" t="s">
        <v>23</v>
      </c>
      <c r="D11" s="103">
        <v>44.31</v>
      </c>
      <c r="E11" s="200">
        <v>45.93</v>
      </c>
      <c r="F11" s="55">
        <v>43.89</v>
      </c>
      <c r="G11" s="200">
        <v>50.63</v>
      </c>
    </row>
    <row r="12" spans="1:7" s="10" customFormat="1" ht="12.75" customHeight="1">
      <c r="A12" s="90">
        <v>5</v>
      </c>
      <c r="B12" s="61" t="s">
        <v>25</v>
      </c>
      <c r="C12" s="68" t="s">
        <v>23</v>
      </c>
      <c r="D12" s="103">
        <v>40.11</v>
      </c>
      <c r="E12" s="200">
        <v>40.57</v>
      </c>
      <c r="F12" s="55">
        <v>39.49</v>
      </c>
      <c r="G12" s="200">
        <v>44.67</v>
      </c>
    </row>
    <row r="13" spans="1:7" s="10" customFormat="1" ht="12.75" customHeight="1">
      <c r="A13" s="90">
        <v>6</v>
      </c>
      <c r="B13" s="59" t="s">
        <v>77</v>
      </c>
      <c r="C13" s="68" t="s">
        <v>23</v>
      </c>
      <c r="D13" s="165">
        <f>+D11-D12</f>
        <v>4.200000000000003</v>
      </c>
      <c r="E13" s="165">
        <f>+E11-E12</f>
        <v>5.359999999999999</v>
      </c>
      <c r="F13" s="165">
        <f>+F11-F12</f>
        <v>4.399999999999999</v>
      </c>
      <c r="G13" s="165">
        <f>+G11-G12</f>
        <v>5.960000000000001</v>
      </c>
    </row>
    <row r="14" spans="1:7" s="10" customFormat="1" ht="12.75" customHeight="1" thickBot="1">
      <c r="A14" s="90">
        <v>7</v>
      </c>
      <c r="B14" s="59" t="s">
        <v>78</v>
      </c>
      <c r="C14" s="68" t="s">
        <v>23</v>
      </c>
      <c r="D14" s="166">
        <f>+D12-D10</f>
        <v>19.669999999999998</v>
      </c>
      <c r="E14" s="166">
        <f>+E12-E10</f>
        <v>20</v>
      </c>
      <c r="F14" s="166">
        <f>+F12-F10</f>
        <v>18.680000000000003</v>
      </c>
      <c r="G14" s="166">
        <f>+G12-G10</f>
        <v>23.740000000000002</v>
      </c>
    </row>
    <row r="15" spans="1:7" s="26" customFormat="1" ht="12.75" customHeight="1" thickBot="1">
      <c r="A15" s="91">
        <v>8</v>
      </c>
      <c r="B15" s="63" t="s">
        <v>79</v>
      </c>
      <c r="C15" s="65" t="s">
        <v>29</v>
      </c>
      <c r="D15" s="57">
        <f>+(D13/D14)*100</f>
        <v>21.352313167259805</v>
      </c>
      <c r="E15" s="57">
        <f>+(E13/E14)*100</f>
        <v>26.799999999999997</v>
      </c>
      <c r="F15" s="57">
        <f>+(F13/F14)*100</f>
        <v>23.55460385438971</v>
      </c>
      <c r="G15" s="57">
        <f>+(G13/G14)*100</f>
        <v>25.105307497893854</v>
      </c>
    </row>
    <row r="16" spans="1:7" s="10" customFormat="1" ht="12.75" customHeight="1" thickBot="1">
      <c r="A16" s="91">
        <v>9</v>
      </c>
      <c r="B16" s="168" t="s">
        <v>80</v>
      </c>
      <c r="C16" s="169" t="s">
        <v>29</v>
      </c>
      <c r="D16" s="164"/>
      <c r="E16" s="167"/>
      <c r="F16" s="167"/>
      <c r="G16" s="23">
        <f>+L22</f>
        <v>23.4</v>
      </c>
    </row>
    <row r="17" spans="1:7" s="10" customFormat="1" ht="12.75" customHeight="1" thickBot="1">
      <c r="A17" s="79"/>
      <c r="B17" s="47"/>
      <c r="C17" s="19"/>
      <c r="D17" s="45"/>
      <c r="E17" s="161"/>
      <c r="F17" s="161"/>
      <c r="G17" s="37"/>
    </row>
    <row r="18" spans="1:18" s="12" customFormat="1" ht="12.75" customHeight="1">
      <c r="A18" s="42"/>
      <c r="B18" s="39"/>
      <c r="C18" s="19"/>
      <c r="D18" s="79"/>
      <c r="E18" s="79"/>
      <c r="F18" s="79"/>
      <c r="G18" s="79"/>
      <c r="I18" s="178" t="s">
        <v>81</v>
      </c>
      <c r="J18" s="179"/>
      <c r="K18" s="180"/>
      <c r="L18" s="181">
        <v>10</v>
      </c>
      <c r="N18" s="43"/>
      <c r="O18" s="43"/>
      <c r="P18" s="43"/>
      <c r="Q18" s="43"/>
      <c r="R18" s="43"/>
    </row>
    <row r="19" spans="1:18" s="10" customFormat="1" ht="12.75" customHeight="1" thickBot="1">
      <c r="A19" s="42"/>
      <c r="B19" s="39"/>
      <c r="C19" s="19"/>
      <c r="D19" s="79"/>
      <c r="E19" s="79"/>
      <c r="F19" s="79"/>
      <c r="G19" s="79"/>
      <c r="I19" s="182" t="s">
        <v>82</v>
      </c>
      <c r="J19" s="15"/>
      <c r="K19" s="30"/>
      <c r="L19" s="183">
        <v>100</v>
      </c>
      <c r="N19" s="43"/>
      <c r="O19" s="43"/>
      <c r="P19" s="43"/>
      <c r="Q19" s="43"/>
      <c r="R19" s="43"/>
    </row>
    <row r="20" spans="1:18" s="12" customFormat="1" ht="12.75" customHeight="1">
      <c r="A20" s="42"/>
      <c r="B20" s="39"/>
      <c r="C20" s="19"/>
      <c r="D20" s="79"/>
      <c r="E20" s="79"/>
      <c r="F20" s="79"/>
      <c r="G20" s="79"/>
      <c r="I20" s="178" t="s">
        <v>83</v>
      </c>
      <c r="J20" s="184"/>
      <c r="K20" s="180"/>
      <c r="L20" s="334">
        <v>0</v>
      </c>
      <c r="N20" s="43"/>
      <c r="O20" s="43"/>
      <c r="P20" s="43"/>
      <c r="Q20" s="43"/>
      <c r="R20" s="43"/>
    </row>
    <row r="21" spans="1:18" s="10" customFormat="1" ht="12.75" customHeight="1" thickBot="1">
      <c r="A21" s="42"/>
      <c r="B21" s="39"/>
      <c r="C21" s="19"/>
      <c r="D21" s="79"/>
      <c r="E21" s="79"/>
      <c r="F21" s="79"/>
      <c r="G21" s="79"/>
      <c r="I21" s="185" t="s">
        <v>84</v>
      </c>
      <c r="J21" s="186"/>
      <c r="K21" s="187"/>
      <c r="L21" s="335">
        <v>0</v>
      </c>
      <c r="N21" s="43"/>
      <c r="O21" s="43"/>
      <c r="P21" s="43"/>
      <c r="Q21" s="43"/>
      <c r="R21" s="43"/>
    </row>
    <row r="22" spans="1:18" s="12" customFormat="1" ht="12.75" customHeight="1">
      <c r="A22" s="42"/>
      <c r="B22" s="39"/>
      <c r="C22" s="19"/>
      <c r="D22" s="79"/>
      <c r="E22" s="79"/>
      <c r="F22" s="79"/>
      <c r="G22" s="79"/>
      <c r="I22" s="182" t="s">
        <v>85</v>
      </c>
      <c r="J22" s="31"/>
      <c r="K22" s="188">
        <v>25</v>
      </c>
      <c r="L22" s="336">
        <v>23.4</v>
      </c>
      <c r="N22" s="43"/>
      <c r="O22" s="43"/>
      <c r="P22" s="43"/>
      <c r="Q22" s="43"/>
      <c r="R22" s="43"/>
    </row>
    <row r="23" spans="1:18" s="10" customFormat="1" ht="12.75" customHeight="1" thickBot="1">
      <c r="A23" s="42"/>
      <c r="B23" s="39"/>
      <c r="C23" s="19"/>
      <c r="D23" s="79"/>
      <c r="E23" s="79"/>
      <c r="F23" s="79"/>
      <c r="G23" s="79"/>
      <c r="I23" s="30"/>
      <c r="J23" s="31"/>
      <c r="K23" s="188">
        <v>25</v>
      </c>
      <c r="L23" s="333">
        <v>0</v>
      </c>
      <c r="N23" s="43"/>
      <c r="O23" s="43"/>
      <c r="P23" s="43"/>
      <c r="Q23" s="43"/>
      <c r="R23" s="43"/>
    </row>
    <row r="24" spans="1:18" s="10" customFormat="1" ht="12.75" customHeight="1">
      <c r="A24" s="42"/>
      <c r="B24" s="39"/>
      <c r="C24" s="19"/>
      <c r="D24" s="79"/>
      <c r="E24" s="79"/>
      <c r="F24" s="79"/>
      <c r="G24" s="79"/>
      <c r="H24" s="12"/>
      <c r="I24" s="178" t="s">
        <v>80</v>
      </c>
      <c r="J24" s="73"/>
      <c r="K24" s="189">
        <v>10</v>
      </c>
      <c r="L24" s="332">
        <v>27</v>
      </c>
      <c r="N24" s="43"/>
      <c r="O24" s="43"/>
      <c r="P24" s="43"/>
      <c r="Q24" s="43"/>
      <c r="R24" s="43"/>
    </row>
    <row r="25" spans="1:18" s="10" customFormat="1" ht="12.75" customHeight="1" thickBot="1">
      <c r="A25" s="42"/>
      <c r="B25" s="39"/>
      <c r="C25" s="19"/>
      <c r="D25" s="79"/>
      <c r="E25" s="79"/>
      <c r="F25" s="79"/>
      <c r="G25" s="79"/>
      <c r="H25" s="12"/>
      <c r="I25" s="187"/>
      <c r="J25" s="190"/>
      <c r="K25" s="191">
        <v>100</v>
      </c>
      <c r="L25" s="201">
        <v>18</v>
      </c>
      <c r="N25" s="43"/>
      <c r="O25" s="43"/>
      <c r="P25" s="43"/>
      <c r="Q25" s="43"/>
      <c r="R25" s="43"/>
    </row>
    <row r="26" spans="1:18" s="10" customFormat="1" ht="12.75" customHeight="1">
      <c r="A26" s="42"/>
      <c r="B26" s="39"/>
      <c r="C26" s="19"/>
      <c r="D26" s="79"/>
      <c r="E26" s="79"/>
      <c r="F26" s="79"/>
      <c r="G26" s="79"/>
      <c r="H26" s="12"/>
      <c r="I26" s="178" t="s">
        <v>86</v>
      </c>
      <c r="J26" s="73"/>
      <c r="K26" s="330">
        <v>0</v>
      </c>
      <c r="L26" s="328">
        <f>+L22</f>
        <v>23.4</v>
      </c>
      <c r="N26" s="43"/>
      <c r="O26" s="43"/>
      <c r="P26" s="43"/>
      <c r="Q26" s="43"/>
      <c r="R26" s="43"/>
    </row>
    <row r="27" spans="1:18" s="162" customFormat="1" ht="12.75" customHeight="1" thickBot="1">
      <c r="A27" s="42"/>
      <c r="B27" s="39"/>
      <c r="C27" s="19"/>
      <c r="D27" s="79"/>
      <c r="E27" s="79"/>
      <c r="F27" s="79"/>
      <c r="G27" s="79"/>
      <c r="H27" s="12"/>
      <c r="I27" s="187"/>
      <c r="J27" s="190"/>
      <c r="K27" s="331">
        <v>25</v>
      </c>
      <c r="L27" s="329">
        <f>+L22</f>
        <v>23.4</v>
      </c>
      <c r="N27" s="43"/>
      <c r="O27" s="43"/>
      <c r="P27" s="43"/>
      <c r="Q27" s="43"/>
      <c r="R27" s="43"/>
    </row>
    <row r="28" spans="1:18" s="12" customFormat="1" ht="12.75" customHeight="1">
      <c r="A28" s="42"/>
      <c r="B28" s="39"/>
      <c r="C28" s="19"/>
      <c r="D28" s="79"/>
      <c r="E28" s="79"/>
      <c r="F28" s="79"/>
      <c r="G28" s="79"/>
      <c r="I28" s="11"/>
      <c r="J28" s="11"/>
      <c r="K28" s="29"/>
      <c r="L28" s="300"/>
      <c r="M28" s="43"/>
      <c r="N28" s="43"/>
      <c r="O28" s="43"/>
      <c r="P28" s="43"/>
      <c r="Q28" s="43"/>
      <c r="R28" s="43"/>
    </row>
    <row r="29" spans="1:18" s="10" customFormat="1" ht="12.75" customHeight="1">
      <c r="A29" s="42"/>
      <c r="B29" s="39"/>
      <c r="C29" s="19"/>
      <c r="D29" s="79"/>
      <c r="E29" s="79"/>
      <c r="F29" s="79"/>
      <c r="G29" s="79"/>
      <c r="I29" s="11"/>
      <c r="J29" s="11"/>
      <c r="K29" s="29"/>
      <c r="L29" s="301"/>
      <c r="M29" s="43"/>
      <c r="N29" s="43"/>
      <c r="O29" s="43"/>
      <c r="P29" s="43"/>
      <c r="Q29" s="43"/>
      <c r="R29" s="43"/>
    </row>
    <row r="30" spans="1:18" s="12" customFormat="1" ht="12.75" customHeight="1">
      <c r="A30" s="42"/>
      <c r="B30" s="39"/>
      <c r="C30" s="19"/>
      <c r="D30" s="79"/>
      <c r="E30" s="79"/>
      <c r="F30" s="79"/>
      <c r="G30" s="79"/>
      <c r="I30" s="11"/>
      <c r="J30" s="11"/>
      <c r="K30" s="29"/>
      <c r="L30" s="301"/>
      <c r="M30" s="43"/>
      <c r="N30" s="43"/>
      <c r="O30" s="43"/>
      <c r="P30" s="43"/>
      <c r="Q30" s="43"/>
      <c r="R30" s="43"/>
    </row>
    <row r="31" spans="1:13" s="10" customFormat="1" ht="12.75" customHeight="1">
      <c r="A31" s="42"/>
      <c r="B31" s="39"/>
      <c r="C31" s="19"/>
      <c r="D31" s="79"/>
      <c r="E31" s="79"/>
      <c r="F31" s="79"/>
      <c r="G31" s="79"/>
      <c r="I31" s="11"/>
      <c r="J31" s="11"/>
      <c r="K31" s="18"/>
      <c r="L31" s="302"/>
      <c r="M31" s="43"/>
    </row>
    <row r="32" spans="1:13" s="12" customFormat="1" ht="12.75" customHeight="1">
      <c r="A32" s="42"/>
      <c r="B32" s="39"/>
      <c r="C32" s="19"/>
      <c r="D32" s="79"/>
      <c r="E32" s="22"/>
      <c r="F32" s="79"/>
      <c r="G32" s="79"/>
      <c r="I32" s="29"/>
      <c r="J32" s="29"/>
      <c r="K32" s="18"/>
      <c r="L32" s="302"/>
      <c r="M32" s="43"/>
    </row>
    <row r="33" spans="1:12" s="10" customFormat="1" ht="12.75" customHeight="1">
      <c r="A33" s="42"/>
      <c r="B33" s="84"/>
      <c r="C33" s="85"/>
      <c r="D33" s="22"/>
      <c r="E33" s="22"/>
      <c r="F33" s="22"/>
      <c r="G33" s="22"/>
      <c r="I33" s="11"/>
      <c r="J33" s="29"/>
      <c r="K33" s="18"/>
      <c r="L33" s="298"/>
    </row>
    <row r="34" spans="1:12" s="10" customFormat="1" ht="12.75" customHeight="1" thickBot="1">
      <c r="A34" s="42"/>
      <c r="B34" s="84"/>
      <c r="C34" s="85"/>
      <c r="D34" s="22"/>
      <c r="E34" s="22"/>
      <c r="F34" s="22"/>
      <c r="G34" s="22"/>
      <c r="I34" s="29"/>
      <c r="J34" s="29"/>
      <c r="K34" s="18"/>
      <c r="L34" s="299"/>
    </row>
    <row r="35" spans="1:13" s="10" customFormat="1" ht="12.75" customHeight="1" thickBot="1">
      <c r="A35" s="72" t="s">
        <v>87</v>
      </c>
      <c r="B35" s="48"/>
      <c r="C35" s="32"/>
      <c r="D35" s="49"/>
      <c r="E35" s="49"/>
      <c r="F35" s="49"/>
      <c r="G35" s="27"/>
      <c r="I35" s="170">
        <f>4/0.73+20</f>
        <v>25.47945205479452</v>
      </c>
      <c r="J35" s="171">
        <v>4</v>
      </c>
      <c r="L35" s="287">
        <f>IF(OR(D9=0,$G$16="NP"),1,D9)</f>
        <v>43</v>
      </c>
      <c r="M35" s="282">
        <f>IF($G$16="NP",1,D15)</f>
        <v>21.352313167259805</v>
      </c>
    </row>
    <row r="36" spans="1:13" s="10" customFormat="1" ht="12.75" customHeight="1" thickBot="1">
      <c r="A36" s="98">
        <v>1</v>
      </c>
      <c r="B36" s="74" t="s">
        <v>21</v>
      </c>
      <c r="C36" s="69"/>
      <c r="D36" s="52">
        <v>4</v>
      </c>
      <c r="E36" s="202">
        <v>8</v>
      </c>
      <c r="F36" s="53">
        <v>10</v>
      </c>
      <c r="G36" s="202">
        <v>23</v>
      </c>
      <c r="I36" s="172">
        <f>60/0.73+20</f>
        <v>102.19178082191782</v>
      </c>
      <c r="J36" s="173">
        <v>60</v>
      </c>
      <c r="L36" s="288">
        <f>IF(OR(E9=0,$G$16="NP"),1,E9)</f>
        <v>11</v>
      </c>
      <c r="M36" s="284">
        <f>IF($G$16="NP",1,E15)</f>
        <v>26.799999999999997</v>
      </c>
    </row>
    <row r="37" spans="1:13" s="10" customFormat="1" ht="12.75" customHeight="1">
      <c r="A37" s="90">
        <v>2</v>
      </c>
      <c r="B37" s="60" t="s">
        <v>22</v>
      </c>
      <c r="C37" s="70" t="s">
        <v>23</v>
      </c>
      <c r="D37" s="54">
        <v>20.47</v>
      </c>
      <c r="E37" s="200">
        <v>20.75</v>
      </c>
      <c r="F37" s="55">
        <v>21.03</v>
      </c>
      <c r="G37" s="200">
        <v>20.4</v>
      </c>
      <c r="I37" s="170">
        <v>16</v>
      </c>
      <c r="J37" s="171">
        <v>7</v>
      </c>
      <c r="L37" s="288">
        <f>IF(OR(F9=0,$G$16="NP"),1,F9)</f>
        <v>23</v>
      </c>
      <c r="M37" s="284">
        <f>IF($G$16="NP",1,F15)</f>
        <v>23.55460385438971</v>
      </c>
    </row>
    <row r="38" spans="1:13" s="10" customFormat="1" ht="12.75" customHeight="1" thickBot="1">
      <c r="A38" s="90">
        <v>3</v>
      </c>
      <c r="B38" s="59" t="s">
        <v>24</v>
      </c>
      <c r="C38" s="68" t="s">
        <v>23</v>
      </c>
      <c r="D38" s="54">
        <v>23.52</v>
      </c>
      <c r="E38" s="200">
        <v>24.38</v>
      </c>
      <c r="F38" s="55">
        <v>24.2</v>
      </c>
      <c r="G38" s="200">
        <v>22.9</v>
      </c>
      <c r="I38" s="172">
        <f>60/0.9+8</f>
        <v>74.66666666666667</v>
      </c>
      <c r="J38" s="173">
        <v>60</v>
      </c>
      <c r="L38" s="289">
        <f>IF(OR(G9=0,$G$16="NP"),1,G9)</f>
        <v>16</v>
      </c>
      <c r="M38" s="286">
        <f>IF($G$16="NP",1,G15)</f>
        <v>25.105307497893854</v>
      </c>
    </row>
    <row r="39" spans="1:10" s="10" customFormat="1" ht="12.75" customHeight="1">
      <c r="A39" s="90">
        <v>4</v>
      </c>
      <c r="B39" s="61" t="s">
        <v>25</v>
      </c>
      <c r="C39" s="68" t="s">
        <v>23</v>
      </c>
      <c r="D39" s="54">
        <v>23.13</v>
      </c>
      <c r="E39" s="200">
        <v>23.93</v>
      </c>
      <c r="F39" s="55">
        <v>23.83</v>
      </c>
      <c r="G39" s="200">
        <v>22.6</v>
      </c>
      <c r="I39" s="174">
        <v>50</v>
      </c>
      <c r="J39" s="175">
        <v>0</v>
      </c>
    </row>
    <row r="40" spans="1:10" s="10" customFormat="1" ht="12.75" customHeight="1" thickBot="1">
      <c r="A40" s="90">
        <v>5</v>
      </c>
      <c r="B40" s="59" t="s">
        <v>26</v>
      </c>
      <c r="C40" s="68" t="s">
        <v>23</v>
      </c>
      <c r="D40" s="56">
        <f>+D38-D39</f>
        <v>0.39000000000000057</v>
      </c>
      <c r="E40" s="56">
        <f>+E38-E39</f>
        <v>0.4499999999999993</v>
      </c>
      <c r="F40" s="56">
        <f>+F38-F39</f>
        <v>0.370000000000001</v>
      </c>
      <c r="G40" s="56">
        <f>+G38-G39</f>
        <v>0.29999999999999716</v>
      </c>
      <c r="I40" s="174">
        <v>50</v>
      </c>
      <c r="J40" s="175">
        <v>60</v>
      </c>
    </row>
    <row r="41" spans="1:10" s="10" customFormat="1" ht="12.75" customHeight="1" thickBot="1">
      <c r="A41" s="90">
        <v>6</v>
      </c>
      <c r="B41" s="59" t="s">
        <v>27</v>
      </c>
      <c r="C41" s="68" t="s">
        <v>23</v>
      </c>
      <c r="D41" s="56">
        <f>+D39-D37</f>
        <v>2.66</v>
      </c>
      <c r="E41" s="56">
        <f>+E39-E37</f>
        <v>3.1799999999999997</v>
      </c>
      <c r="F41" s="56">
        <f>+F39-F37</f>
        <v>2.799999999999997</v>
      </c>
      <c r="G41" s="56">
        <f>+G39-G37</f>
        <v>2.200000000000003</v>
      </c>
      <c r="I41" s="170">
        <v>0</v>
      </c>
      <c r="J41" s="171">
        <v>4</v>
      </c>
    </row>
    <row r="42" spans="1:10" s="10" customFormat="1" ht="12.75" customHeight="1" thickBot="1">
      <c r="A42" s="91">
        <v>7</v>
      </c>
      <c r="B42" s="71" t="s">
        <v>88</v>
      </c>
      <c r="C42" s="65" t="s">
        <v>29</v>
      </c>
      <c r="D42" s="57">
        <f>+(D40/D41)*100</f>
        <v>14.661654135338367</v>
      </c>
      <c r="E42" s="57">
        <f>+(E40/E41)*100</f>
        <v>14.150943396226396</v>
      </c>
      <c r="F42" s="57">
        <f>+(F40/F41)*100</f>
        <v>13.214285714285765</v>
      </c>
      <c r="G42" s="57">
        <f>+(G40/G41)*100</f>
        <v>13.636363636363487</v>
      </c>
      <c r="I42" s="172">
        <f>4/0.73+20</f>
        <v>25.47945205479452</v>
      </c>
      <c r="J42" s="173">
        <v>4</v>
      </c>
    </row>
    <row r="43" spans="1:10" s="10" customFormat="1" ht="12.75" customHeight="1" thickBot="1">
      <c r="A43" s="91">
        <v>8</v>
      </c>
      <c r="B43" s="4" t="s">
        <v>89</v>
      </c>
      <c r="C43" s="65" t="s">
        <v>29</v>
      </c>
      <c r="D43" s="164"/>
      <c r="E43" s="51"/>
      <c r="F43" s="51"/>
      <c r="G43" s="23">
        <f>+SUM(D42:G42)/4</f>
        <v>13.915811720553503</v>
      </c>
      <c r="I43" s="174">
        <v>0</v>
      </c>
      <c r="J43" s="175">
        <v>7</v>
      </c>
    </row>
    <row r="44" spans="1:10" s="12" customFormat="1" ht="12.75" customHeight="1" thickBot="1">
      <c r="A44" s="42"/>
      <c r="B44" s="84"/>
      <c r="C44" s="85"/>
      <c r="D44" s="22"/>
      <c r="E44" s="22"/>
      <c r="F44" s="22"/>
      <c r="G44" s="22"/>
      <c r="I44" s="174">
        <f>7/0.73+20</f>
        <v>29.589041095890412</v>
      </c>
      <c r="J44" s="175">
        <v>7</v>
      </c>
    </row>
    <row r="45" spans="1:10" s="12" customFormat="1" ht="12.75" customHeight="1" thickBot="1">
      <c r="A45" s="72" t="s">
        <v>90</v>
      </c>
      <c r="B45" s="48"/>
      <c r="C45" s="32"/>
      <c r="D45" s="49"/>
      <c r="E45" s="49"/>
      <c r="F45" s="49"/>
      <c r="G45" s="27"/>
      <c r="I45" s="170">
        <v>0</v>
      </c>
      <c r="J45" s="171">
        <v>0</v>
      </c>
    </row>
    <row r="46" spans="1:10" s="10" customFormat="1" ht="12.75" customHeight="1" thickBot="1">
      <c r="A46" s="98">
        <v>1</v>
      </c>
      <c r="B46" s="74" t="s">
        <v>21</v>
      </c>
      <c r="C46" s="69"/>
      <c r="D46" s="52"/>
      <c r="E46" s="52"/>
      <c r="F46" s="52"/>
      <c r="G46" s="202"/>
      <c r="I46" s="172">
        <v>60</v>
      </c>
      <c r="J46" s="173">
        <v>60</v>
      </c>
    </row>
    <row r="47" spans="1:10" s="10" customFormat="1" ht="12.75" customHeight="1" thickBot="1">
      <c r="A47" s="90">
        <v>2</v>
      </c>
      <c r="B47" s="60" t="s">
        <v>22</v>
      </c>
      <c r="C47" s="70" t="s">
        <v>23</v>
      </c>
      <c r="D47" s="54"/>
      <c r="E47" s="54"/>
      <c r="F47" s="54"/>
      <c r="G47" s="200"/>
      <c r="I47" s="176">
        <f>L25</f>
        <v>18</v>
      </c>
      <c r="J47" s="177">
        <f>IF(OR(L25="NP",G43="NP"),"NP",L25-G43)</f>
        <v>4.084188279446497</v>
      </c>
    </row>
    <row r="48" spans="1:7" s="10" customFormat="1" ht="12.75" customHeight="1">
      <c r="A48" s="90">
        <v>3</v>
      </c>
      <c r="B48" s="59" t="s">
        <v>24</v>
      </c>
      <c r="C48" s="68" t="s">
        <v>23</v>
      </c>
      <c r="D48" s="54"/>
      <c r="E48" s="54"/>
      <c r="F48" s="54"/>
      <c r="G48" s="200"/>
    </row>
    <row r="49" spans="1:7" s="10" customFormat="1" ht="12.75" customHeight="1">
      <c r="A49" s="90">
        <v>4</v>
      </c>
      <c r="B49" s="61" t="s">
        <v>25</v>
      </c>
      <c r="C49" s="68" t="s">
        <v>23</v>
      </c>
      <c r="D49" s="54"/>
      <c r="E49" s="54"/>
      <c r="F49" s="54"/>
      <c r="G49" s="200"/>
    </row>
    <row r="50" spans="1:7" s="10" customFormat="1" ht="12.75" customHeight="1">
      <c r="A50" s="90">
        <v>5</v>
      </c>
      <c r="B50" s="5" t="s">
        <v>91</v>
      </c>
      <c r="C50" s="68" t="s">
        <v>92</v>
      </c>
      <c r="D50" s="203"/>
      <c r="E50" s="203"/>
      <c r="F50" s="203"/>
      <c r="G50" s="204"/>
    </row>
    <row r="51" spans="1:7" s="10" customFormat="1" ht="12.75" customHeight="1">
      <c r="A51" s="90">
        <v>6</v>
      </c>
      <c r="B51" s="5" t="s">
        <v>93</v>
      </c>
      <c r="C51" s="68" t="s">
        <v>92</v>
      </c>
      <c r="D51" s="54"/>
      <c r="E51" s="54"/>
      <c r="F51" s="54"/>
      <c r="G51" s="200"/>
    </row>
    <row r="52" spans="1:7" s="10" customFormat="1" ht="12.75" customHeight="1">
      <c r="A52" s="90">
        <v>7</v>
      </c>
      <c r="B52" s="59" t="s">
        <v>26</v>
      </c>
      <c r="C52" s="68" t="s">
        <v>23</v>
      </c>
      <c r="D52" s="56" t="str">
        <f>IF(AND(D46=0,D47=0,D48=0,D49=0,D50=0,D51=0),"-",D48-D49)</f>
        <v>-</v>
      </c>
      <c r="E52" s="56" t="str">
        <f>IF(AND(E46=0,E47=0,E48=0,E49=0,E50=0,E51=0),"-",E48-E49)</f>
        <v>-</v>
      </c>
      <c r="F52" s="56" t="str">
        <f>IF(AND(F46=0,F47=0,F48=0,F49=0,F50=0,F51=0),"-",F48-F49)</f>
        <v>-</v>
      </c>
      <c r="G52" s="101" t="str">
        <f>IF(AND(G46=0,G47=0,G48=0,G49=0,G50=0,G51=0),"-",G48-G49)</f>
        <v>-</v>
      </c>
    </row>
    <row r="53" spans="1:7" s="10" customFormat="1" ht="12.75" customHeight="1">
      <c r="A53" s="90">
        <v>8</v>
      </c>
      <c r="B53" s="59" t="s">
        <v>27</v>
      </c>
      <c r="C53" s="68" t="s">
        <v>23</v>
      </c>
      <c r="D53" s="56" t="str">
        <f>IF(AND(D46=0,D47=0,D48=0,D49=0,D50=0,D51=0),"-",D49-D47)</f>
        <v>-</v>
      </c>
      <c r="E53" s="56" t="str">
        <f>IF(AND(E46=0,E47=0,E48=0,E49=0,E50=0,E51=0),"-",E49-E47)</f>
        <v>-</v>
      </c>
      <c r="F53" s="56" t="str">
        <f>IF(AND(F46=0,F47=0,F48=0,F49=0,F50=0,F51=0),"-",F49-F47)</f>
        <v>-</v>
      </c>
      <c r="G53" s="101" t="str">
        <f>IF(AND(G46=0,G47=0,G48=0,G49=0,G50=0,G51=0),"-",G49-G47)</f>
        <v>-</v>
      </c>
    </row>
    <row r="54" spans="1:7" s="10" customFormat="1" ht="12.75" customHeight="1" thickBot="1">
      <c r="A54" s="90">
        <v>9</v>
      </c>
      <c r="B54" s="6" t="s">
        <v>94</v>
      </c>
      <c r="C54" s="68" t="s">
        <v>29</v>
      </c>
      <c r="D54" s="56" t="str">
        <f>IF(AND(D46=0,D47=0,D48=0,D49=0,D50=0,D51=0),"-",D52/D53*100)</f>
        <v>-</v>
      </c>
      <c r="E54" s="56" t="str">
        <f>IF(AND(E46=0,E47=0,E48=0,E49=0,E50=0,E51=0),"-",E52/E53*100)</f>
        <v>-</v>
      </c>
      <c r="F54" s="56" t="str">
        <f>IF(AND(F46=0,F47=0,F48=0,F49=0,F50=0,F51=0),"-",F52/F53*100)</f>
        <v>-</v>
      </c>
      <c r="G54" s="101" t="str">
        <f>IF(AND(G46=0,G47=0,G48=0,G49=0,G50=0,G51=0),"-",G52/G53*100)</f>
        <v>-</v>
      </c>
    </row>
    <row r="55" spans="1:7" s="10" customFormat="1" ht="12.75" customHeight="1" thickBot="1">
      <c r="A55" s="91">
        <v>10</v>
      </c>
      <c r="B55" s="4" t="s">
        <v>95</v>
      </c>
      <c r="C55" s="65" t="s">
        <v>29</v>
      </c>
      <c r="D55" s="107" t="str">
        <f>IF(AND(D46=0,D47=0,D48=0,D49=0,D50=0,D51=0),"-",D54-100*(D50-D51)/D53)</f>
        <v>-</v>
      </c>
      <c r="E55" s="107" t="str">
        <f>IF(AND(E46=0,E47=0,E48=0,E49=0,E50=0,E51=0),"-",E54-100*(E50-E51)/E53)</f>
        <v>-</v>
      </c>
      <c r="F55" s="107" t="str">
        <f>IF(AND(F46=0,F47=0,F48=0,F49=0,F50=0,F51=0),"-",F54-100*(F50-F51)/F53)</f>
        <v>-</v>
      </c>
      <c r="G55" s="109" t="str">
        <f>IF(AND(G46=0,G47=0,G48=0,G49=0,G50=0,G51=0),"-",G54-100*(G50-G51)/G53)</f>
        <v>-</v>
      </c>
    </row>
    <row r="56" spans="1:8" s="26" customFormat="1" ht="12.75" customHeight="1" thickBot="1">
      <c r="A56" s="91">
        <v>11</v>
      </c>
      <c r="B56" s="4" t="s">
        <v>96</v>
      </c>
      <c r="C56" s="65" t="s">
        <v>29</v>
      </c>
      <c r="D56" s="164"/>
      <c r="E56" s="51"/>
      <c r="F56" s="51"/>
      <c r="G56" s="23" t="str">
        <f>IF(AND(D55="-",E55="-",F55="-",G55="-"),"-",AVERAGE(D55:G55))</f>
        <v>-</v>
      </c>
      <c r="H56" s="10"/>
    </row>
    <row r="57" spans="2:8" ht="12.75">
      <c r="B57" s="11"/>
      <c r="C57" s="79"/>
      <c r="D57" s="79"/>
      <c r="E57" s="79"/>
      <c r="F57" s="79"/>
      <c r="G57" s="79"/>
      <c r="H57" s="10"/>
    </row>
    <row r="58" spans="2:8" ht="12.75">
      <c r="B58" s="11"/>
      <c r="C58" s="79"/>
      <c r="D58" s="79"/>
      <c r="E58" s="79"/>
      <c r="F58" s="79"/>
      <c r="G58" s="79"/>
      <c r="H58" s="10"/>
    </row>
    <row r="59" spans="2:8" ht="12.75">
      <c r="B59" s="11"/>
      <c r="C59" s="79"/>
      <c r="D59" s="79"/>
      <c r="E59" s="79"/>
      <c r="F59" s="79"/>
      <c r="G59" s="79"/>
      <c r="H59" s="10"/>
    </row>
    <row r="60" spans="2:8" ht="12.75">
      <c r="B60" s="16"/>
      <c r="C60" s="22"/>
      <c r="D60" s="22"/>
      <c r="E60" s="22"/>
      <c r="F60" s="22"/>
      <c r="G60" s="22"/>
      <c r="H60" s="10"/>
    </row>
    <row r="61" spans="2:8" ht="12.75">
      <c r="B61" s="16"/>
      <c r="C61" s="22"/>
      <c r="D61" s="22"/>
      <c r="E61" s="22"/>
      <c r="F61" s="22"/>
      <c r="G61" s="22"/>
      <c r="H61" s="10"/>
    </row>
    <row r="62" spans="3:8" ht="12.75">
      <c r="C62" s="22"/>
      <c r="D62" s="22"/>
      <c r="E62" s="22"/>
      <c r="F62" s="22"/>
      <c r="G62" s="22"/>
      <c r="H62" s="10"/>
    </row>
    <row r="63" spans="3:8" ht="12.75">
      <c r="C63" s="22"/>
      <c r="D63" s="22"/>
      <c r="E63" s="22"/>
      <c r="F63" s="22"/>
      <c r="G63" s="22"/>
      <c r="H63" s="10"/>
    </row>
    <row r="64" spans="5:8" ht="12.75">
      <c r="E64" s="45"/>
      <c r="F64" s="45"/>
      <c r="G64" s="45"/>
      <c r="H64" s="10"/>
    </row>
    <row r="65" spans="5:8" ht="12.75">
      <c r="E65" s="17"/>
      <c r="F65" s="17"/>
      <c r="G65" s="87"/>
      <c r="H65" s="10"/>
    </row>
    <row r="66" spans="5:8" ht="12.75">
      <c r="E66" s="17"/>
      <c r="F66" s="17"/>
      <c r="G66" s="87"/>
      <c r="H66" s="26"/>
    </row>
    <row r="67" spans="5:7" ht="12.75">
      <c r="E67" s="87"/>
      <c r="F67" s="17"/>
      <c r="G67" s="87"/>
    </row>
    <row r="68" spans="5:7" ht="12.75">
      <c r="E68" s="163"/>
      <c r="F68" s="87"/>
      <c r="G68" s="87"/>
    </row>
    <row r="69" spans="5:7" ht="12.75">
      <c r="E69" s="45"/>
      <c r="F69" s="45"/>
      <c r="G69" s="45"/>
    </row>
  </sheetData>
  <sheetProtection/>
  <printOptions/>
  <pageMargins left="0.7086614173228347" right="0.75" top="0.5905511811023623" bottom="1.1811023622047245" header="0" footer="0"/>
  <pageSetup blackAndWhite="1" firstPageNumber="1" useFirstPageNumber="1" horizontalDpi="180" verticalDpi="18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115" zoomScaleNormal="115" zoomScalePageLayoutView="0" workbookViewId="0" topLeftCell="A19">
      <selection activeCell="E43" sqref="E43"/>
    </sheetView>
  </sheetViews>
  <sheetFormatPr defaultColWidth="11.421875" defaultRowHeight="12.75"/>
  <cols>
    <col min="1" max="2" width="7.7109375" style="226" customWidth="1"/>
    <col min="3" max="3" width="12.7109375" style="226" customWidth="1"/>
    <col min="4" max="6" width="5.7109375" style="226" customWidth="1"/>
    <col min="7" max="7" width="13.7109375" style="226" customWidth="1"/>
    <col min="8" max="8" width="11.8515625" style="226" customWidth="1"/>
    <col min="9" max="11" width="11.421875" style="226" customWidth="1"/>
    <col min="12" max="16384" width="11.421875" style="257" customWidth="1"/>
  </cols>
  <sheetData>
    <row r="1" spans="1:11" ht="12.75" customHeight="1">
      <c r="A1" s="214" t="s">
        <v>97</v>
      </c>
      <c r="B1" s="214"/>
      <c r="C1" s="214"/>
      <c r="D1" s="268" t="s">
        <v>98</v>
      </c>
      <c r="E1" s="214" t="s">
        <v>99</v>
      </c>
      <c r="F1" s="224"/>
      <c r="G1" s="224"/>
      <c r="H1" s="225"/>
      <c r="I1" s="225"/>
      <c r="J1" s="225"/>
      <c r="K1" s="225"/>
    </row>
    <row r="2" spans="1:11" ht="12.75" customHeight="1">
      <c r="A2" s="214" t="s">
        <v>100</v>
      </c>
      <c r="B2" s="227"/>
      <c r="C2" s="232"/>
      <c r="D2" s="268" t="s">
        <v>98</v>
      </c>
      <c r="E2" s="228" t="s">
        <v>101</v>
      </c>
      <c r="F2" s="229"/>
      <c r="G2" s="230"/>
      <c r="H2" s="224"/>
      <c r="I2" s="224"/>
      <c r="J2" s="224"/>
      <c r="K2" s="224"/>
    </row>
    <row r="3" spans="1:11" ht="4.5" customHeight="1">
      <c r="A3" s="214"/>
      <c r="B3" s="214"/>
      <c r="C3" s="214"/>
      <c r="D3" s="268"/>
      <c r="E3" s="224"/>
      <c r="F3" s="224"/>
      <c r="G3" s="224"/>
      <c r="H3" s="224"/>
      <c r="I3" s="224"/>
      <c r="J3" s="224"/>
      <c r="K3" s="224"/>
    </row>
    <row r="4" spans="1:11" ht="12.75" customHeight="1">
      <c r="A4" s="214" t="s">
        <v>102</v>
      </c>
      <c r="B4" s="214"/>
      <c r="C4" s="214"/>
      <c r="D4" s="268" t="s">
        <v>98</v>
      </c>
      <c r="E4" s="375" t="str">
        <f>DATOS!C2</f>
        <v>EST. DE PROB. FALLA E IMPLEMET. ALTERN.  SOLUC DESLIZAM. TALUD.EN LA ZONA ANDINA</v>
      </c>
      <c r="F4" s="231"/>
      <c r="G4" s="224"/>
      <c r="H4" s="224"/>
      <c r="I4" s="224"/>
      <c r="J4" s="224"/>
      <c r="K4" s="224"/>
    </row>
    <row r="5" spans="1:11" ht="12.75" customHeight="1">
      <c r="A5" s="214" t="s">
        <v>3</v>
      </c>
      <c r="B5" s="214"/>
      <c r="C5" s="214"/>
      <c r="D5" s="268" t="s">
        <v>98</v>
      </c>
      <c r="E5" s="375" t="str">
        <f>DATOS!C4</f>
        <v>ESTABILIDAD DE TALUDES</v>
      </c>
      <c r="F5" s="231"/>
      <c r="G5" s="224"/>
      <c r="H5" s="224"/>
      <c r="I5" s="224"/>
      <c r="J5" s="224"/>
      <c r="K5" s="224"/>
    </row>
    <row r="6" spans="1:11" ht="12.75" customHeight="1">
      <c r="A6" s="214" t="s">
        <v>4</v>
      </c>
      <c r="B6" s="214"/>
      <c r="C6" s="214"/>
      <c r="D6" s="268" t="s">
        <v>98</v>
      </c>
      <c r="E6" s="375" t="str">
        <f>DATOS!C5</f>
        <v>JORGE MOSTAJO CARBONEL</v>
      </c>
      <c r="F6" s="231"/>
      <c r="G6" s="224"/>
      <c r="H6" s="224"/>
      <c r="I6" s="224"/>
      <c r="J6" s="224"/>
      <c r="K6" s="224"/>
    </row>
    <row r="7" spans="1:11" ht="12.75" customHeight="1">
      <c r="A7" s="214" t="s">
        <v>5</v>
      </c>
      <c r="B7" s="214"/>
      <c r="C7" s="214"/>
      <c r="D7" s="268" t="s">
        <v>98</v>
      </c>
      <c r="E7" s="375" t="str">
        <f>DATOS!C6</f>
        <v>HUAYUCHACA - ACCESO A LA PROVINCIA DE CAJAY - HUARI</v>
      </c>
      <c r="F7" s="231"/>
      <c r="G7" s="224"/>
      <c r="H7" s="224"/>
      <c r="I7" s="224"/>
      <c r="J7" s="224"/>
      <c r="K7" s="224"/>
    </row>
    <row r="8" spans="1:11" ht="12.75" customHeight="1">
      <c r="A8" s="214" t="s">
        <v>6</v>
      </c>
      <c r="B8" s="214"/>
      <c r="C8" s="214"/>
      <c r="D8" s="268" t="s">
        <v>98</v>
      </c>
      <c r="E8" s="376" t="str">
        <f>DATOS!C7</f>
        <v>14 AGOSTO 2007</v>
      </c>
      <c r="F8" s="232"/>
      <c r="G8" s="233"/>
      <c r="H8" s="224"/>
      <c r="I8" s="224"/>
      <c r="J8" s="224"/>
      <c r="K8" s="224"/>
    </row>
    <row r="9" spans="1:11" ht="4.5" customHeight="1">
      <c r="A9" s="214"/>
      <c r="B9" s="214"/>
      <c r="C9" s="224"/>
      <c r="D9" s="214"/>
      <c r="E9" s="377"/>
      <c r="F9" s="231"/>
      <c r="G9" s="224"/>
      <c r="H9" s="224"/>
      <c r="I9" s="224"/>
      <c r="J9" s="224"/>
      <c r="K9" s="224"/>
    </row>
    <row r="10" spans="1:11" ht="12.75" customHeight="1">
      <c r="A10" s="292" t="s">
        <v>8</v>
      </c>
      <c r="B10" s="290"/>
      <c r="C10" s="290"/>
      <c r="D10" s="268" t="s">
        <v>98</v>
      </c>
      <c r="E10" s="375" t="str">
        <f>DATOS!C10</f>
        <v>CALICATA</v>
      </c>
      <c r="F10" s="215"/>
      <c r="G10" s="224"/>
      <c r="H10" s="224"/>
      <c r="I10" s="224"/>
      <c r="J10" s="224"/>
      <c r="K10" s="224"/>
    </row>
    <row r="11" spans="1:11" ht="12.75" customHeight="1">
      <c r="A11" s="292" t="s">
        <v>9</v>
      </c>
      <c r="B11" s="290"/>
      <c r="C11" s="290"/>
      <c r="D11" s="268" t="s">
        <v>98</v>
      </c>
      <c r="E11" s="375" t="str">
        <f>DATOS!C11</f>
        <v>C1</v>
      </c>
      <c r="F11" s="215"/>
      <c r="G11" s="224"/>
      <c r="H11" s="224"/>
      <c r="I11" s="224"/>
      <c r="J11" s="224"/>
      <c r="K11" s="224"/>
    </row>
    <row r="12" spans="1:11" ht="12.75" customHeight="1">
      <c r="A12" s="292" t="s">
        <v>10</v>
      </c>
      <c r="B12" s="290"/>
      <c r="C12" s="290"/>
      <c r="D12" s="268" t="s">
        <v>98</v>
      </c>
      <c r="E12" s="375" t="str">
        <f>DATOS!C12</f>
        <v>M1</v>
      </c>
      <c r="F12" s="215"/>
      <c r="G12" s="224"/>
      <c r="H12" s="224"/>
      <c r="I12" s="224"/>
      <c r="J12" s="224"/>
      <c r="K12" s="224"/>
    </row>
    <row r="13" spans="1:11" ht="12.75" customHeight="1">
      <c r="A13" s="40"/>
      <c r="B13" s="40"/>
      <c r="C13" s="40"/>
      <c r="D13" s="40"/>
      <c r="E13" s="378"/>
      <c r="F13" s="40"/>
      <c r="G13" s="224"/>
      <c r="H13" s="224"/>
      <c r="I13" s="224"/>
      <c r="J13" s="224"/>
      <c r="K13" s="224"/>
    </row>
    <row r="14" spans="1:11" ht="12.75" customHeight="1">
      <c r="A14" s="292" t="s">
        <v>11</v>
      </c>
      <c r="B14" s="290"/>
      <c r="C14" s="290"/>
      <c r="D14" s="293" t="s">
        <v>12</v>
      </c>
      <c r="E14" s="375">
        <f>DATOS!C13</f>
        <v>2.1</v>
      </c>
      <c r="F14" s="215"/>
      <c r="G14" s="224"/>
      <c r="H14" s="224"/>
      <c r="I14" s="224"/>
      <c r="J14" s="224"/>
      <c r="K14" s="224"/>
    </row>
    <row r="15" spans="1:11" ht="12.75" customHeight="1">
      <c r="A15" s="292" t="s">
        <v>13</v>
      </c>
      <c r="B15" s="290"/>
      <c r="C15" s="290"/>
      <c r="D15" s="293" t="s">
        <v>12</v>
      </c>
      <c r="E15" s="375">
        <f>DATOS!C14</f>
        <v>3</v>
      </c>
      <c r="F15" s="215"/>
      <c r="G15" s="224"/>
      <c r="H15" s="224"/>
      <c r="I15" s="224"/>
      <c r="J15" s="224"/>
      <c r="K15" s="224"/>
    </row>
    <row r="16" spans="1:11" ht="12.75" customHeight="1" thickBot="1">
      <c r="A16" s="235"/>
      <c r="B16" s="235"/>
      <c r="C16" s="235"/>
      <c r="D16" s="237"/>
      <c r="E16" s="216"/>
      <c r="F16" s="216"/>
      <c r="G16" s="224"/>
      <c r="H16" s="224"/>
      <c r="I16" s="224"/>
      <c r="J16" s="224"/>
      <c r="K16" s="224"/>
    </row>
    <row r="17" spans="1:11" ht="12.75" customHeight="1">
      <c r="A17" s="238"/>
      <c r="B17" s="239"/>
      <c r="C17" s="271">
        <v>75</v>
      </c>
      <c r="D17" s="272" t="s">
        <v>53</v>
      </c>
      <c r="E17" s="370">
        <f>GRANULOM!J27</f>
        <v>100</v>
      </c>
      <c r="F17" s="371"/>
      <c r="G17" s="224"/>
      <c r="H17" s="224"/>
      <c r="I17" s="224"/>
      <c r="J17" s="224"/>
      <c r="K17" s="224"/>
    </row>
    <row r="18" spans="1:11" ht="12.75" customHeight="1">
      <c r="A18" s="240"/>
      <c r="B18" s="241"/>
      <c r="C18" s="273">
        <v>50</v>
      </c>
      <c r="D18" s="274" t="s">
        <v>54</v>
      </c>
      <c r="E18" s="372">
        <f>GRANULOM!J28</f>
        <v>100</v>
      </c>
      <c r="F18" s="373"/>
      <c r="G18" s="224"/>
      <c r="H18" s="224"/>
      <c r="I18" s="224"/>
      <c r="J18" s="224"/>
      <c r="K18" s="224"/>
    </row>
    <row r="19" spans="1:11" ht="12.75" customHeight="1">
      <c r="A19" s="240"/>
      <c r="B19" s="241"/>
      <c r="C19" s="273">
        <v>37.5</v>
      </c>
      <c r="D19" s="274" t="s">
        <v>55</v>
      </c>
      <c r="E19" s="372">
        <f>GRANULOM!J29</f>
        <v>91.97107333164172</v>
      </c>
      <c r="F19" s="365"/>
      <c r="G19" s="224"/>
      <c r="H19" s="224"/>
      <c r="I19" s="224"/>
      <c r="J19" s="224"/>
      <c r="K19" s="224"/>
    </row>
    <row r="20" spans="1:11" ht="12.75" customHeight="1">
      <c r="A20" s="240"/>
      <c r="B20" s="241"/>
      <c r="C20" s="273">
        <v>25</v>
      </c>
      <c r="D20" s="274" t="s">
        <v>56</v>
      </c>
      <c r="E20" s="372">
        <f>GRANULOM!J30</f>
        <v>81.67089571174829</v>
      </c>
      <c r="F20" s="365"/>
      <c r="G20" s="224"/>
      <c r="H20" s="224"/>
      <c r="I20" s="224"/>
      <c r="J20" s="224"/>
      <c r="K20" s="224"/>
    </row>
    <row r="21" spans="1:11" ht="12.75" customHeight="1">
      <c r="A21" s="240"/>
      <c r="B21" s="241"/>
      <c r="C21" s="273">
        <v>19</v>
      </c>
      <c r="D21" s="274" t="s">
        <v>57</v>
      </c>
      <c r="E21" s="372">
        <f>GRANULOM!J31</f>
        <v>78.0091347373763</v>
      </c>
      <c r="F21" s="365"/>
      <c r="G21" s="224"/>
      <c r="H21" s="224"/>
      <c r="I21" s="224"/>
      <c r="J21" s="224"/>
      <c r="K21" s="224"/>
    </row>
    <row r="22" spans="1:11" ht="12.75" customHeight="1">
      <c r="A22" s="240"/>
      <c r="B22" s="241"/>
      <c r="C22" s="273">
        <v>9.5</v>
      </c>
      <c r="D22" s="274" t="s">
        <v>58</v>
      </c>
      <c r="E22" s="372">
        <f>GRANULOM!J32</f>
        <v>67.4138543516874</v>
      </c>
      <c r="F22" s="365"/>
      <c r="G22" s="224"/>
      <c r="H22" s="224"/>
      <c r="I22" s="224"/>
      <c r="J22" s="224"/>
      <c r="K22" s="224"/>
    </row>
    <row r="23" spans="1:11" ht="12.75" customHeight="1">
      <c r="A23" s="240"/>
      <c r="B23" s="241"/>
      <c r="C23" s="273">
        <v>4.75</v>
      </c>
      <c r="D23" s="274" t="s">
        <v>59</v>
      </c>
      <c r="E23" s="372">
        <f>GRANULOM!J33</f>
        <v>59.33291042882519</v>
      </c>
      <c r="F23" s="365"/>
      <c r="G23" s="224"/>
      <c r="H23" s="224"/>
      <c r="I23" s="224"/>
      <c r="J23" s="224"/>
      <c r="K23" s="224"/>
    </row>
    <row r="24" spans="1:11" ht="12.75" customHeight="1">
      <c r="A24" s="240"/>
      <c r="B24" s="241"/>
      <c r="C24" s="273">
        <v>2</v>
      </c>
      <c r="D24" s="274" t="s">
        <v>60</v>
      </c>
      <c r="E24" s="372">
        <f>GRANULOM!J34</f>
        <v>51.49226084750065</v>
      </c>
      <c r="F24" s="365"/>
      <c r="G24" s="224"/>
      <c r="H24" s="224"/>
      <c r="I24" s="224"/>
      <c r="J24" s="224"/>
      <c r="K24" s="224"/>
    </row>
    <row r="25" spans="1:11" ht="12.75" customHeight="1">
      <c r="A25" s="240"/>
      <c r="B25" s="241"/>
      <c r="C25" s="273">
        <v>0.85</v>
      </c>
      <c r="D25" s="274" t="s">
        <v>61</v>
      </c>
      <c r="E25" s="372">
        <f>GRANULOM!J35</f>
        <v>46.80994671403199</v>
      </c>
      <c r="F25" s="365"/>
      <c r="G25" s="224"/>
      <c r="H25" s="224"/>
      <c r="I25" s="224"/>
      <c r="J25" s="224"/>
      <c r="K25" s="224"/>
    </row>
    <row r="26" spans="1:11" ht="12.75" customHeight="1">
      <c r="A26" s="240"/>
      <c r="B26" s="241"/>
      <c r="C26" s="273">
        <v>0.425</v>
      </c>
      <c r="D26" s="274" t="s">
        <v>62</v>
      </c>
      <c r="E26" s="372">
        <f>GRANULOM!J36</f>
        <v>43.88048718599342</v>
      </c>
      <c r="F26" s="365"/>
      <c r="G26" s="224"/>
      <c r="H26" s="224"/>
      <c r="I26" s="224"/>
      <c r="J26" s="224"/>
      <c r="K26" s="224"/>
    </row>
    <row r="27" spans="1:11" ht="12.75" customHeight="1">
      <c r="A27" s="240"/>
      <c r="B27" s="241"/>
      <c r="C27" s="273">
        <v>0.25</v>
      </c>
      <c r="D27" s="274" t="s">
        <v>63</v>
      </c>
      <c r="E27" s="372">
        <f>GRANULOM!J37</f>
        <v>41.558487693478824</v>
      </c>
      <c r="F27" s="365"/>
      <c r="G27" s="224"/>
      <c r="H27" s="224"/>
      <c r="I27" s="224"/>
      <c r="J27" s="224"/>
      <c r="K27" s="224"/>
    </row>
    <row r="28" spans="1:11" ht="12.75" customHeight="1">
      <c r="A28" s="240"/>
      <c r="B28" s="241"/>
      <c r="C28" s="273">
        <v>0.15</v>
      </c>
      <c r="D28" s="274" t="s">
        <v>64</v>
      </c>
      <c r="E28" s="372">
        <f>GRANULOM!J38</f>
        <v>38.34712002029943</v>
      </c>
      <c r="F28" s="365"/>
      <c r="G28" s="224"/>
      <c r="H28" s="224"/>
      <c r="I28" s="224"/>
      <c r="J28" s="224"/>
      <c r="K28" s="224"/>
    </row>
    <row r="29" spans="1:11" ht="12.75" customHeight="1" thickBot="1">
      <c r="A29" s="240"/>
      <c r="B29" s="241"/>
      <c r="C29" s="275">
        <v>0.075</v>
      </c>
      <c r="D29" s="276" t="s">
        <v>65</v>
      </c>
      <c r="E29" s="374">
        <f>GRANULOM!J39</f>
        <v>33.555442781020055</v>
      </c>
      <c r="F29" s="364"/>
      <c r="G29" s="224"/>
      <c r="H29" s="224"/>
      <c r="I29" s="224"/>
      <c r="J29" s="224"/>
      <c r="K29" s="224"/>
    </row>
    <row r="30" spans="1:11" ht="12.75" customHeight="1">
      <c r="A30" s="245"/>
      <c r="B30" s="246" t="s">
        <v>103</v>
      </c>
      <c r="C30" s="247"/>
      <c r="D30" s="368">
        <f>GRANULOM!J18</f>
        <v>0.0024844233699675717</v>
      </c>
      <c r="E30" s="248" t="s">
        <v>104</v>
      </c>
      <c r="F30" s="366" t="str">
        <f>GRANULOM!J21</f>
        <v>&gt; 99</v>
      </c>
      <c r="H30" s="236"/>
      <c r="J30" s="224"/>
      <c r="K30" s="224"/>
    </row>
    <row r="31" spans="1:11" ht="12.75" customHeight="1">
      <c r="A31" s="245"/>
      <c r="B31" s="248" t="s">
        <v>105</v>
      </c>
      <c r="C31" s="249"/>
      <c r="D31" s="366">
        <f>GRANULOM!J19</f>
        <v>0.04484312386763096</v>
      </c>
      <c r="E31" s="240" t="s">
        <v>106</v>
      </c>
      <c r="F31" s="367">
        <f>GRANULOM!J22</f>
        <v>0.1609245084118276</v>
      </c>
      <c r="H31" s="236"/>
      <c r="J31" s="224"/>
      <c r="K31" s="224"/>
    </row>
    <row r="32" spans="1:11" ht="12.75" customHeight="1" thickBot="1">
      <c r="A32" s="250"/>
      <c r="B32" s="251" t="s">
        <v>107</v>
      </c>
      <c r="C32" s="252"/>
      <c r="D32" s="369">
        <f>GRANULOM!J20</f>
        <v>5.029721294929914</v>
      </c>
      <c r="E32" s="253"/>
      <c r="F32" s="254"/>
      <c r="H32" s="236"/>
      <c r="I32" s="255"/>
      <c r="J32" s="224"/>
      <c r="K32" s="224"/>
    </row>
    <row r="33" spans="1:11" ht="12.75" customHeight="1" thickBot="1">
      <c r="A33" s="235"/>
      <c r="B33" s="235"/>
      <c r="C33" s="256"/>
      <c r="D33" s="255"/>
      <c r="E33" s="234"/>
      <c r="F33" s="234"/>
      <c r="G33" s="235"/>
      <c r="H33" s="235"/>
      <c r="I33" s="235"/>
      <c r="J33" s="235"/>
      <c r="K33" s="235"/>
    </row>
    <row r="34" spans="1:11" ht="12.75" customHeight="1" thickBot="1">
      <c r="A34" s="258" t="s">
        <v>108</v>
      </c>
      <c r="B34" s="259"/>
      <c r="C34" s="260"/>
      <c r="D34" s="261"/>
      <c r="E34" s="442">
        <f>+'W%, P.ESPEC, P.ESP.RELAT'!E37</f>
        <v>2.5616779239246346</v>
      </c>
      <c r="F34" s="361"/>
      <c r="G34" s="235"/>
      <c r="H34" s="235"/>
      <c r="I34" s="235"/>
      <c r="J34" s="235"/>
      <c r="K34" s="235"/>
    </row>
    <row r="35" spans="1:11" ht="12.75" customHeight="1" thickBot="1">
      <c r="A35" s="258" t="s">
        <v>109</v>
      </c>
      <c r="B35" s="259"/>
      <c r="C35" s="260"/>
      <c r="D35" s="261" t="s">
        <v>110</v>
      </c>
      <c r="E35" s="360">
        <f>+'W%, P.ESPEC, P.ESP.RELAT'!G28</f>
        <v>2.1432625747533955</v>
      </c>
      <c r="F35" s="361"/>
      <c r="G35" s="235"/>
      <c r="H35" s="235"/>
      <c r="I35" s="235"/>
      <c r="J35" s="235"/>
      <c r="K35" s="235"/>
    </row>
    <row r="36" spans="1:11" ht="12.75" customHeight="1" thickBot="1">
      <c r="A36" s="258" t="s">
        <v>111</v>
      </c>
      <c r="B36" s="259"/>
      <c r="C36" s="260"/>
      <c r="D36" s="261" t="s">
        <v>29</v>
      </c>
      <c r="E36" s="362">
        <f>GRANULOM!F12</f>
        <v>9.921339761481857</v>
      </c>
      <c r="F36" s="361"/>
      <c r="G36" s="235"/>
      <c r="H36" s="235"/>
      <c r="I36" s="235"/>
      <c r="J36" s="235"/>
      <c r="K36" s="235"/>
    </row>
    <row r="37" spans="1:11" ht="12.75" customHeight="1" thickBot="1">
      <c r="A37" s="258" t="s">
        <v>112</v>
      </c>
      <c r="B37" s="259"/>
      <c r="C37" s="260"/>
      <c r="D37" s="261" t="s">
        <v>29</v>
      </c>
      <c r="E37" s="362">
        <f>LIMITES!G16</f>
        <v>23.4</v>
      </c>
      <c r="F37" s="361"/>
      <c r="G37" s="224"/>
      <c r="H37" s="224"/>
      <c r="I37" s="224"/>
      <c r="J37" s="224"/>
      <c r="K37" s="224"/>
    </row>
    <row r="38" spans="1:11" ht="12.75" customHeight="1" thickBot="1">
      <c r="A38" s="251" t="s">
        <v>113</v>
      </c>
      <c r="B38" s="262"/>
      <c r="C38" s="263"/>
      <c r="D38" s="244" t="s">
        <v>29</v>
      </c>
      <c r="E38" s="363">
        <f>LIMITES!G43</f>
        <v>13.915811720553503</v>
      </c>
      <c r="F38" s="364"/>
      <c r="G38" s="224"/>
      <c r="H38" s="224"/>
      <c r="I38" s="224"/>
      <c r="J38" s="224"/>
      <c r="K38" s="224"/>
    </row>
    <row r="39" spans="1:11" ht="12.75" customHeight="1" thickBot="1">
      <c r="A39" s="248" t="s">
        <v>114</v>
      </c>
      <c r="B39" s="264"/>
      <c r="C39" s="265"/>
      <c r="D39" s="242" t="s">
        <v>29</v>
      </c>
      <c r="E39" s="363">
        <f>+E37-E38</f>
        <v>9.484188279446496</v>
      </c>
      <c r="F39" s="365"/>
      <c r="G39" s="224"/>
      <c r="H39" s="224"/>
      <c r="I39" s="224"/>
      <c r="J39" s="224"/>
      <c r="K39" s="224"/>
    </row>
    <row r="40" spans="1:11" ht="12.75" customHeight="1" thickBot="1">
      <c r="A40" s="266" t="s">
        <v>90</v>
      </c>
      <c r="B40" s="259"/>
      <c r="C40" s="259"/>
      <c r="D40" s="261" t="s">
        <v>29</v>
      </c>
      <c r="E40" s="217" t="str">
        <f>LIMITES!G56</f>
        <v>-</v>
      </c>
      <c r="F40" s="270"/>
      <c r="G40" s="224"/>
      <c r="H40" s="224"/>
      <c r="I40" s="224"/>
      <c r="J40" s="224"/>
      <c r="K40" s="224"/>
    </row>
    <row r="41" spans="1:11" ht="12.75" customHeight="1" thickBot="1">
      <c r="A41" s="290"/>
      <c r="B41" s="235"/>
      <c r="C41" s="235"/>
      <c r="D41" s="255"/>
      <c r="E41" s="215"/>
      <c r="F41" s="294"/>
      <c r="G41" s="224"/>
      <c r="H41" s="224"/>
      <c r="I41" s="224"/>
      <c r="J41" s="224"/>
      <c r="K41" s="224"/>
    </row>
    <row r="42" spans="1:11" ht="12.75" customHeight="1" thickBot="1">
      <c r="A42" s="291" t="s">
        <v>115</v>
      </c>
      <c r="B42" s="260"/>
      <c r="C42" s="260"/>
      <c r="D42" s="295"/>
      <c r="E42" s="296" t="s">
        <v>186</v>
      </c>
      <c r="F42" s="443"/>
      <c r="G42" s="224"/>
      <c r="H42" s="224"/>
      <c r="I42" s="224"/>
      <c r="J42" s="224"/>
      <c r="K42" s="224"/>
    </row>
    <row r="43" spans="1:11" ht="12.75" customHeight="1">
      <c r="A43" s="43"/>
      <c r="B43" s="43"/>
      <c r="C43" s="43"/>
      <c r="D43" s="43"/>
      <c r="E43" s="43"/>
      <c r="F43" s="43"/>
      <c r="G43" s="224"/>
      <c r="H43" s="224"/>
      <c r="I43" s="224"/>
      <c r="J43" s="224"/>
      <c r="K43" s="224"/>
    </row>
    <row r="44" spans="1:11" ht="12.75" customHeight="1">
      <c r="A44" s="214"/>
      <c r="B44" s="214"/>
      <c r="C44" s="214"/>
      <c r="D44" s="268"/>
      <c r="E44" s="269"/>
      <c r="F44" s="214"/>
      <c r="G44" s="214"/>
      <c r="H44" s="214"/>
      <c r="I44" s="214"/>
      <c r="J44" s="214"/>
      <c r="K44" s="214"/>
    </row>
    <row r="45" spans="7:11" ht="12.75" customHeight="1">
      <c r="G45" s="267"/>
      <c r="H45" s="267"/>
      <c r="I45" s="267"/>
      <c r="J45" s="267"/>
      <c r="K45" s="267"/>
    </row>
    <row r="46" spans="7:11" ht="12.75" customHeight="1">
      <c r="G46" s="267"/>
      <c r="H46" s="267"/>
      <c r="I46" s="267"/>
      <c r="J46" s="267"/>
      <c r="K46" s="267"/>
    </row>
    <row r="47" spans="7:11" ht="12.75" customHeight="1">
      <c r="G47" s="267"/>
      <c r="H47" s="267"/>
      <c r="I47" s="267"/>
      <c r="J47" s="267"/>
      <c r="K47" s="267"/>
    </row>
    <row r="48" spans="7:11" ht="12.75" customHeight="1">
      <c r="G48" s="267"/>
      <c r="H48" s="267"/>
      <c r="I48" s="267"/>
      <c r="J48" s="267"/>
      <c r="K48" s="267"/>
    </row>
    <row r="49" spans="7:11" ht="12.75" customHeight="1">
      <c r="G49" s="267"/>
      <c r="H49" s="267"/>
      <c r="I49" s="267"/>
      <c r="J49" s="267"/>
      <c r="K49" s="267"/>
    </row>
    <row r="50" spans="8:11" ht="12.75" customHeight="1">
      <c r="H50" s="267"/>
      <c r="I50" s="267"/>
      <c r="J50" s="267"/>
      <c r="K50" s="267"/>
    </row>
    <row r="51" spans="8:11" ht="12.75" customHeight="1">
      <c r="H51" s="267"/>
      <c r="I51" s="267"/>
      <c r="J51" s="267"/>
      <c r="K51" s="267"/>
    </row>
    <row r="52" spans="7:11" ht="12.75" customHeight="1">
      <c r="G52" s="267"/>
      <c r="H52" s="267"/>
      <c r="I52" s="267"/>
      <c r="J52" s="267"/>
      <c r="K52" s="267"/>
    </row>
    <row r="53" spans="7:11" ht="12.75" customHeight="1">
      <c r="G53" s="267"/>
      <c r="H53" s="267"/>
      <c r="I53" s="267"/>
      <c r="J53" s="267"/>
      <c r="K53" s="267"/>
    </row>
    <row r="54" spans="7:11" ht="12.75" customHeight="1">
      <c r="G54" s="267"/>
      <c r="H54" s="267"/>
      <c r="I54" s="267"/>
      <c r="J54" s="267"/>
      <c r="K54" s="267"/>
    </row>
    <row r="55" spans="7:11" ht="12.75" customHeight="1">
      <c r="G55" s="267"/>
      <c r="H55" s="267"/>
      <c r="I55" s="267"/>
      <c r="J55" s="267"/>
      <c r="K55" s="267"/>
    </row>
    <row r="56" spans="1:11" ht="12.75" customHeight="1">
      <c r="A56" s="267"/>
      <c r="D56" s="267"/>
      <c r="E56" s="267"/>
      <c r="F56" s="267"/>
      <c r="G56" s="267"/>
      <c r="H56" s="267"/>
      <c r="I56" s="267"/>
      <c r="J56" s="267"/>
      <c r="K56" s="267"/>
    </row>
    <row r="57" spans="1:11" ht="12.75" customHeight="1">
      <c r="A57" s="267"/>
      <c r="D57" s="267"/>
      <c r="E57" s="267"/>
      <c r="F57" s="267"/>
      <c r="G57" s="267"/>
      <c r="H57" s="267"/>
      <c r="I57" s="267"/>
      <c r="J57" s="267"/>
      <c r="K57" s="267"/>
    </row>
    <row r="58" spans="1:11" ht="12.75" customHeight="1">
      <c r="A58" s="267"/>
      <c r="D58" s="267"/>
      <c r="E58" s="267"/>
      <c r="F58" s="267"/>
      <c r="G58" s="267"/>
      <c r="H58" s="267"/>
      <c r="I58" s="267"/>
      <c r="J58" s="267"/>
      <c r="K58" s="267"/>
    </row>
    <row r="59" spans="1:11" ht="12.75" customHeight="1">
      <c r="A59" s="267"/>
      <c r="D59" s="267"/>
      <c r="E59" s="267"/>
      <c r="F59" s="267"/>
      <c r="G59" s="267"/>
      <c r="H59" s="267"/>
      <c r="I59" s="267"/>
      <c r="J59" s="267"/>
      <c r="K59" s="267"/>
    </row>
    <row r="60" spans="1:11" ht="12.75" customHeight="1">
      <c r="A60" s="267"/>
      <c r="D60" s="267"/>
      <c r="E60" s="267"/>
      <c r="F60" s="267"/>
      <c r="G60" s="267"/>
      <c r="H60" s="267"/>
      <c r="I60" s="267"/>
      <c r="J60" s="267"/>
      <c r="K60" s="267"/>
    </row>
    <row r="61" spans="1:11" ht="12.75" customHeight="1">
      <c r="A61" s="267"/>
      <c r="D61" s="267"/>
      <c r="E61" s="267"/>
      <c r="F61" s="267"/>
      <c r="G61" s="267"/>
      <c r="H61" s="267"/>
      <c r="I61" s="267"/>
      <c r="J61" s="267"/>
      <c r="K61" s="267"/>
    </row>
    <row r="62" spans="1:11" ht="12.75" customHeight="1">
      <c r="A62" s="267"/>
      <c r="D62" s="267"/>
      <c r="E62" s="267"/>
      <c r="F62" s="267"/>
      <c r="G62" s="267"/>
      <c r="H62" s="267"/>
      <c r="I62" s="267"/>
      <c r="J62" s="267"/>
      <c r="K62" s="267"/>
    </row>
    <row r="63" spans="1:11" ht="12.75" customHeight="1">
      <c r="A63" s="267"/>
      <c r="D63" s="267"/>
      <c r="E63" s="267"/>
      <c r="F63" s="267"/>
      <c r="G63" s="267"/>
      <c r="H63" s="267"/>
      <c r="I63" s="267"/>
      <c r="J63" s="267"/>
      <c r="K63" s="267"/>
    </row>
    <row r="64" spans="1:11" ht="7.5" customHeight="1">
      <c r="A64" s="267"/>
      <c r="D64" s="267"/>
      <c r="E64" s="267"/>
      <c r="F64" s="267"/>
      <c r="G64" s="267"/>
      <c r="H64" s="267"/>
      <c r="I64" s="267"/>
      <c r="J64" s="267"/>
      <c r="K64" s="267"/>
    </row>
    <row r="65" spans="1:11" s="305" customFormat="1" ht="12.75" customHeight="1">
      <c r="A65" s="303" t="s">
        <v>116</v>
      </c>
      <c r="B65" s="243"/>
      <c r="C65" s="304" t="str">
        <f>DATOS!C15</f>
        <v>PRESENCIA DE NIVEL FREATICO - FLUJO SUBTERREANEO</v>
      </c>
      <c r="D65" s="43"/>
      <c r="E65" s="214"/>
      <c r="F65" s="214"/>
      <c r="G65" s="214"/>
      <c r="H65" s="214"/>
      <c r="I65" s="214"/>
      <c r="J65" s="214"/>
      <c r="K65" s="214"/>
    </row>
    <row r="66" spans="1:11" s="305" customFormat="1" ht="12.75" customHeight="1">
      <c r="A66" s="214"/>
      <c r="B66" s="243"/>
      <c r="C66" s="304" t="str">
        <f>DATOS!C16</f>
        <v>PRESENCIA DE ROCA ANGULOSA</v>
      </c>
      <c r="D66" s="43"/>
      <c r="E66" s="214"/>
      <c r="F66" s="214"/>
      <c r="G66" s="214"/>
      <c r="H66" s="214"/>
      <c r="I66" s="214"/>
      <c r="J66" s="214"/>
      <c r="K66" s="214"/>
    </row>
  </sheetData>
  <sheetProtection/>
  <printOptions horizontalCentered="1" verticalCentered="1"/>
  <pageMargins left="0.5905511811023623" right="0.3937007874015748" top="0.7874015748031497" bottom="0.7874015748031497" header="0" footer="0"/>
  <pageSetup blackAndWhite="1" firstPageNumber="1" useFirstPageNumber="1" horizontalDpi="180" verticalDpi="180" orientation="portrait" paperSize="9" scale="85" r:id="rId2"/>
  <ignoredErrors>
    <ignoredError sqref="E34:E35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zoomScale="85" zoomScaleNormal="85" zoomScalePageLayoutView="0" workbookViewId="0" topLeftCell="A14">
      <selection activeCell="C4" sqref="C4"/>
    </sheetView>
  </sheetViews>
  <sheetFormatPr defaultColWidth="11.421875" defaultRowHeight="12.75"/>
  <cols>
    <col min="1" max="1" width="2.7109375" style="0" customWidth="1"/>
    <col min="2" max="4" width="8.7109375" style="0" customWidth="1"/>
    <col min="5" max="5" width="5.7109375" style="0" customWidth="1"/>
    <col min="6" max="6" width="30.7109375" style="0" customWidth="1"/>
    <col min="7" max="8" width="17.7109375" style="0" customWidth="1"/>
  </cols>
  <sheetData>
    <row r="1" spans="1:10" ht="12.75">
      <c r="A1" s="384"/>
      <c r="B1" s="470" t="s">
        <v>151</v>
      </c>
      <c r="C1" s="470"/>
      <c r="D1" s="470"/>
      <c r="E1" s="470"/>
      <c r="F1" s="470"/>
      <c r="G1" s="470"/>
      <c r="H1" s="470"/>
      <c r="I1" s="384"/>
      <c r="J1" s="386"/>
    </row>
    <row r="2" spans="1:10" ht="12.75">
      <c r="A2" s="384"/>
      <c r="B2" s="385"/>
      <c r="C2" s="385"/>
      <c r="D2" s="385"/>
      <c r="E2" s="385"/>
      <c r="F2" s="385"/>
      <c r="G2" s="385"/>
      <c r="H2" s="385"/>
      <c r="I2" s="384"/>
      <c r="J2" s="386"/>
    </row>
    <row r="3" spans="1:12" ht="12.75">
      <c r="A3" s="384"/>
      <c r="B3" s="387" t="s">
        <v>152</v>
      </c>
      <c r="C3" s="388">
        <f>ROUND(RESUMEN!E29,2)</f>
        <v>33.56</v>
      </c>
      <c r="D3" s="387" t="s">
        <v>153</v>
      </c>
      <c r="E3" s="389" t="str">
        <f>+RESUMEN!F30</f>
        <v>&gt; 99</v>
      </c>
      <c r="F3" s="384"/>
      <c r="G3" s="384"/>
      <c r="H3" s="385"/>
      <c r="I3" s="384"/>
      <c r="J3" s="386"/>
      <c r="K3" s="390" t="s">
        <v>154</v>
      </c>
      <c r="L3" s="390">
        <f>+IF(N_10="NP",0,N_10)</f>
        <v>23.4</v>
      </c>
    </row>
    <row r="4" spans="1:12" ht="15.75">
      <c r="A4" s="384"/>
      <c r="B4" s="387" t="s">
        <v>155</v>
      </c>
      <c r="C4" s="388">
        <f>+RESUMEN!E23</f>
        <v>59.33291042882519</v>
      </c>
      <c r="D4" s="387" t="s">
        <v>156</v>
      </c>
      <c r="E4" s="388">
        <f>+RESUMEN!F31</f>
        <v>0.1609245084118276</v>
      </c>
      <c r="F4" s="391" t="s">
        <v>157</v>
      </c>
      <c r="G4" s="392" t="str">
        <f>+Q9</f>
        <v>GC</v>
      </c>
      <c r="H4" s="393"/>
      <c r="I4" s="384"/>
      <c r="J4" s="386"/>
      <c r="K4" s="390" t="s">
        <v>158</v>
      </c>
      <c r="L4" s="390">
        <f>+IF(C6="NP",0,C6)</f>
        <v>9.48</v>
      </c>
    </row>
    <row r="5" spans="1:12" ht="12.75">
      <c r="A5" s="384"/>
      <c r="B5" s="387" t="s">
        <v>159</v>
      </c>
      <c r="C5" s="388">
        <f>IF(RESUMEN!E37="NP","NP",ROUND(RESUMEN!E37,2))</f>
        <v>23.4</v>
      </c>
      <c r="D5" s="385"/>
      <c r="E5" s="385"/>
      <c r="F5" s="387"/>
      <c r="G5" s="385"/>
      <c r="H5" s="385"/>
      <c r="I5" s="384"/>
      <c r="J5" s="386"/>
      <c r="K5" s="394" t="s">
        <v>160</v>
      </c>
      <c r="L5" s="395" t="str">
        <f>IF(OR(E3="----",E3=""),0,E3)</f>
        <v>&gt; 99</v>
      </c>
    </row>
    <row r="6" spans="1:12" ht="12.75">
      <c r="A6" s="384"/>
      <c r="B6" s="387" t="s">
        <v>161</v>
      </c>
      <c r="C6" s="388">
        <f>IF(RESUMEN!E39="NP","NP",ROUND(RESUMEN!E39,2))</f>
        <v>9.48</v>
      </c>
      <c r="D6" s="385"/>
      <c r="E6" s="385"/>
      <c r="F6" s="387"/>
      <c r="G6" s="385"/>
      <c r="H6" s="385"/>
      <c r="I6" s="384"/>
      <c r="J6" s="386"/>
      <c r="K6" s="396" t="s">
        <v>162</v>
      </c>
      <c r="L6" s="395">
        <f>IF(OR(E4="----",E4=""),0,E4)</f>
        <v>0.1609245084118276</v>
      </c>
    </row>
    <row r="7" spans="1:10" ht="12.75">
      <c r="A7" s="384"/>
      <c r="B7" s="384"/>
      <c r="C7" s="385"/>
      <c r="D7" s="384"/>
      <c r="E7" s="384"/>
      <c r="F7" s="384"/>
      <c r="G7" s="384"/>
      <c r="H7" s="384"/>
      <c r="I7" s="384"/>
      <c r="J7" s="386"/>
    </row>
    <row r="8" spans="1:17" ht="56.25">
      <c r="A8" s="384"/>
      <c r="B8" s="471" t="s">
        <v>163</v>
      </c>
      <c r="C8" s="471"/>
      <c r="D8" s="471"/>
      <c r="E8" s="397" t="s">
        <v>164</v>
      </c>
      <c r="F8" s="398" t="s">
        <v>165</v>
      </c>
      <c r="G8" s="472" t="s">
        <v>166</v>
      </c>
      <c r="H8" s="472"/>
      <c r="I8" s="384"/>
      <c r="J8" s="386"/>
      <c r="L8" s="399" t="s">
        <v>167</v>
      </c>
      <c r="M8" s="476" t="s">
        <v>168</v>
      </c>
      <c r="N8" s="476"/>
      <c r="O8" s="400" t="s">
        <v>169</v>
      </c>
      <c r="P8" s="399" t="s">
        <v>170</v>
      </c>
      <c r="Q8" s="401" t="s">
        <v>171</v>
      </c>
    </row>
    <row r="9" spans="1:17" ht="39.75" customHeight="1">
      <c r="A9" s="384"/>
      <c r="B9" s="477" t="s">
        <v>172</v>
      </c>
      <c r="C9" s="475" t="s">
        <v>173</v>
      </c>
      <c r="D9" s="463" t="s">
        <v>174</v>
      </c>
      <c r="E9" s="402" t="s">
        <v>175</v>
      </c>
      <c r="F9" s="403" t="s">
        <v>176</v>
      </c>
      <c r="G9" s="480" t="s">
        <v>177</v>
      </c>
      <c r="H9" s="481"/>
      <c r="I9" s="384"/>
      <c r="J9" s="386"/>
      <c r="L9">
        <f>IF(AND(N_200&lt;50,(100-N_40)&gt;=0.5*(100-N_200),N_200&lt;5,CU&gt;=4,CC&gt;=1,CC&lt;=3),"GW","")</f>
      </c>
      <c r="M9">
        <f>IF(AND(N_200&lt;50,(100-N_40)&gt;=0.5*(100-N_200),N_200&gt;=5,CU&gt;=4,CC&gt;=1,CC&lt;=3,N_200&lt;12,IP&gt;=7,IP&gt;=0.73*(Ll-20)),"GW-GC","")</f>
      </c>
      <c r="N9">
        <f>IF(AND(N_200&lt;50,(100-N_40)&gt;=0.5*(100-N_200),N_200&gt;=5,CU&gt;=4,CC&gt;=1,CC&lt;=3,N_200&lt;12,OR(IP&lt;4,IP&lt;0.73*(Ll-20))),"GW-GM","")</f>
      </c>
      <c r="O9">
        <f>IF(AND(N_200&lt;50,(100-N_40)&gt;=0.5*(100-N_200),N_200&gt;=5,CU&gt;=4,CC&gt;=1,CC&lt;=3,N_200&lt;12,IP&gt;=4,IP&lt;7,IP&lt;0.9*(Ll-8),IP&gt;=0.73*(Ll-20)),"GW-GC-GM","")</f>
      </c>
      <c r="P9">
        <f>+L9&amp;M9&amp;N9&amp;O9</f>
      </c>
      <c r="Q9" t="str">
        <f>+P9&amp;P10&amp;P11&amp;P12&amp;P13&amp;P14&amp;P15&amp;P16&amp;P17&amp;P18&amp;P19&amp;P20&amp;P21&amp;P22&amp;P23&amp;P24</f>
        <v>GC</v>
      </c>
    </row>
    <row r="10" spans="1:16" ht="39.75" customHeight="1">
      <c r="A10" s="384"/>
      <c r="B10" s="477"/>
      <c r="C10" s="475"/>
      <c r="D10" s="463"/>
      <c r="E10" s="404" t="s">
        <v>178</v>
      </c>
      <c r="F10" s="405" t="s">
        <v>179</v>
      </c>
      <c r="G10" s="466" t="s">
        <v>180</v>
      </c>
      <c r="H10" s="467"/>
      <c r="I10" s="384"/>
      <c r="J10" s="386"/>
      <c r="L10">
        <f>IF(AND(N_200&lt;50,(100-N_40)&gt;=0.5*(100-N_200),N_200&lt;5,OR(CU&lt;4,CC&lt;1,CC&gt;3)),"GP","")</f>
      </c>
      <c r="M10">
        <f>IF(AND(N_200&lt;50,(100-N_40)&gt;=0.5*(100-N_200),N_200&gt;=5,OR(CU&lt;4,CC&lt;1,CC&gt;3),N_200&lt;12,IP&gt;=7,IP&gt;=0.73*(Ll-20)),"GP-GC","")</f>
      </c>
      <c r="N10">
        <f>IF(AND(N_200&lt;50,(100-N_40)&gt;=0.5*(100-N_200),N_200&gt;=5,OR(CU&lt;4,CC&lt;1,CC&gt;3),N_200&lt;12,OR(IP&lt;4,IP&lt;0.73*(Ll-20))),"GP-GM","")</f>
      </c>
      <c r="O10">
        <f>IF(AND(N_200&lt;50,(100-N_40)&gt;=0.5*(100-N_200),N_200&gt;=5,OR(CU&lt;4,CC&lt;1,CC&gt;3),N_200&lt;12,IP&gt;=4,IP&lt;7,IP&lt;0.9*(Ll-8),IP&gt;=0.73*(Ll-20)),"GP-GC-GM","")</f>
      </c>
      <c r="P10">
        <f aca="true" t="shared" si="0" ref="P10:P24">+L10&amp;M10&amp;N10&amp;O10</f>
      </c>
    </row>
    <row r="11" spans="1:16" ht="39.75" customHeight="1">
      <c r="A11" s="384"/>
      <c r="B11" s="477"/>
      <c r="C11" s="475"/>
      <c r="D11" s="463" t="s">
        <v>181</v>
      </c>
      <c r="E11" s="404" t="s">
        <v>182</v>
      </c>
      <c r="F11" s="406" t="s">
        <v>183</v>
      </c>
      <c r="G11" s="407" t="s">
        <v>184</v>
      </c>
      <c r="H11" s="473" t="s">
        <v>185</v>
      </c>
      <c r="I11" s="384"/>
      <c r="J11" s="386"/>
      <c r="L11">
        <f>IF(AND(N_200&lt;50,(100-N_40)&gt;=0.5*(100-N_200),N_200&gt;=12,OR(IP&lt;4,IP&lt;0.73*(Ll-20))),"GM","")</f>
      </c>
      <c r="M11">
        <f>IF(AND(N_200&lt;50,(100-N_40)&gt;=0.5*(100-N_200),N_200&gt;=12,IP&gt;=4,IP&lt;7,IP&gt;=0.73*(Ll-20)),"GC-GM","")</f>
      </c>
      <c r="P11">
        <f t="shared" si="0"/>
      </c>
    </row>
    <row r="12" spans="1:16" ht="39.75" customHeight="1">
      <c r="A12" s="384"/>
      <c r="B12" s="477"/>
      <c r="C12" s="479"/>
      <c r="D12" s="463"/>
      <c r="E12" s="408" t="s">
        <v>186</v>
      </c>
      <c r="F12" s="405" t="s">
        <v>187</v>
      </c>
      <c r="G12" s="407" t="s">
        <v>188</v>
      </c>
      <c r="H12" s="474"/>
      <c r="I12" s="384"/>
      <c r="J12" s="386"/>
      <c r="L12" t="str">
        <f>IF(AND(N_200&lt;50,(100-N_40)&gt;=0.5*(100-N_200),N_200&gt;=12,IP&gt;=7,IP&gt;=0.73*(Ll-20)),"GC","")</f>
        <v>GC</v>
      </c>
      <c r="P12" t="str">
        <f t="shared" si="0"/>
        <v>GC</v>
      </c>
    </row>
    <row r="13" spans="1:16" ht="39.75" customHeight="1">
      <c r="A13" s="384"/>
      <c r="B13" s="477"/>
      <c r="C13" s="475" t="s">
        <v>189</v>
      </c>
      <c r="D13" s="463" t="s">
        <v>190</v>
      </c>
      <c r="E13" s="409" t="s">
        <v>191</v>
      </c>
      <c r="F13" s="410" t="s">
        <v>192</v>
      </c>
      <c r="G13" s="464" t="s">
        <v>193</v>
      </c>
      <c r="H13" s="465"/>
      <c r="I13" s="384"/>
      <c r="J13" s="386"/>
      <c r="L13">
        <f>IF(AND(N_200&lt;50,(100-N_40)&lt;0.5*(100-N_200),N_200&lt;5,CU&gt;=6,CC&gt;=1,CC&lt;=3),"SW","")</f>
      </c>
      <c r="M13">
        <f>IF(AND(N_200&lt;50,(100-N_40)&lt;0.5*(100-N_200),N_200&gt;=5,CU&gt;=6,CC&gt;=1,CC&lt;=3,N_200&lt;12,IP&gt;=7,IP&gt;=0.73*(Ll-20)),"SW-SC","")</f>
      </c>
      <c r="N13">
        <f>IF(AND(N_200&lt;50,(100-N_40)&lt;0.5*(100-N_200),N_200&gt;=5,CU&gt;=6,CC&gt;=1,CC&lt;=3,N_200&lt;12,OR(IP&lt;4,IP&lt;0.73*(Ll-20))),"SW-SM","")</f>
      </c>
      <c r="O13">
        <f>IF(AND(N_200&lt;50,(100-N_40)&lt;0.5*(100-N_200),N_200&gt;=5,CU&gt;=6,CC&gt;=1,CC&lt;=3,N_200&lt;12,IP&gt;=4,IP&lt;7,IP&lt;0.9*(Ll-8),IP&gt;=0.73*(Ll-20)),"SW-SC-SM","")</f>
      </c>
      <c r="P13">
        <f t="shared" si="0"/>
      </c>
    </row>
    <row r="14" spans="1:16" ht="39.75" customHeight="1">
      <c r="A14" s="384"/>
      <c r="B14" s="477"/>
      <c r="C14" s="475"/>
      <c r="D14" s="463"/>
      <c r="E14" s="409" t="s">
        <v>194</v>
      </c>
      <c r="F14" s="410" t="s">
        <v>195</v>
      </c>
      <c r="G14" s="464" t="s">
        <v>196</v>
      </c>
      <c r="H14" s="465"/>
      <c r="I14" s="384"/>
      <c r="J14" s="386"/>
      <c r="L14">
        <f>IF(AND(N_200&lt;50,(100-N_40)&lt;0.5*(100-N_200),N_200&lt;5,OR(CU&lt;6,CC&lt;1,CC&gt;3)),"SP","")</f>
      </c>
      <c r="M14">
        <f>IF(AND(N_200&lt;50,(100-N_40)&lt;0.5*(100-N_200),N_200&gt;=5,OR(CU&lt;6,CC&lt;1,CC&gt;3),N_200&lt;12,IP&gt;=7,IP&gt;=0.73*(Ll-20)),"SP-SC","")</f>
      </c>
      <c r="N14">
        <f>IF(AND(N_200&lt;50,(100-N_40)&lt;0.5*(100-N_200),N_200&gt;=5,OR(CU&lt;6,CC&lt;1,CC&gt;3),N_200&lt;12,OR(IP&lt;4,IP&lt;0.73*(Ll-20))),"SP-SM","")</f>
      </c>
      <c r="O14">
        <f>IF(AND(N_200&lt;50,(100-N_40)&lt;0.5*(100-N_200),N_200&gt;=5,OR(CU&lt;6,CC&lt;1,CC&gt;3),N_200&lt;12,IP&gt;=4,IP&lt;7,IP&lt;0.9*(Ll-8),IP&gt;=0.73*(Ll-20)),"SP-SC-SM","")</f>
      </c>
      <c r="P14">
        <f t="shared" si="0"/>
      </c>
    </row>
    <row r="15" spans="1:16" ht="39.75" customHeight="1">
      <c r="A15" s="384"/>
      <c r="B15" s="477"/>
      <c r="C15" s="475"/>
      <c r="D15" s="463" t="s">
        <v>197</v>
      </c>
      <c r="E15" s="409" t="s">
        <v>198</v>
      </c>
      <c r="F15" s="411" t="s">
        <v>199</v>
      </c>
      <c r="G15" s="412" t="s">
        <v>200</v>
      </c>
      <c r="H15" s="468" t="s">
        <v>201</v>
      </c>
      <c r="I15" s="384"/>
      <c r="J15" s="386"/>
      <c r="L15">
        <f>IF(AND(N_200&lt;50,(100-N_40)&lt;0.5*(100-N_200),N_200&gt;=12,OR(IP&lt;4,IP&lt;0.73*(Ll-20))),"SM","")</f>
      </c>
      <c r="M15">
        <f>IF(AND(N_200&lt;50,(100-N_40)&lt;0.5*(100-N_200),N_200&gt;=12,IP&gt;=4,IP&lt;7,IP&gt;=0.73*(Ll-20)),"SC-SM","")</f>
      </c>
      <c r="P15">
        <f t="shared" si="0"/>
      </c>
    </row>
    <row r="16" spans="1:16" ht="39.75" customHeight="1">
      <c r="A16" s="384"/>
      <c r="B16" s="478"/>
      <c r="C16" s="475"/>
      <c r="D16" s="463"/>
      <c r="E16" s="413" t="s">
        <v>202</v>
      </c>
      <c r="F16" s="411" t="s">
        <v>203</v>
      </c>
      <c r="G16" s="410" t="s">
        <v>204</v>
      </c>
      <c r="H16" s="469"/>
      <c r="I16" s="384"/>
      <c r="J16" s="386"/>
      <c r="L16">
        <f>IF(AND(N_200&lt;50,(100-N_40)&lt;0.5*(100-N_200),N_200&gt;=12,IP&gt;=7,IP&gt;=0.73*(Ll-20)),"SC","")</f>
      </c>
      <c r="P16">
        <f t="shared" si="0"/>
      </c>
    </row>
    <row r="17" spans="1:16" ht="54.75" customHeight="1">
      <c r="A17" s="384"/>
      <c r="B17" s="482" t="s">
        <v>205</v>
      </c>
      <c r="C17" s="485" t="s">
        <v>206</v>
      </c>
      <c r="D17" s="486"/>
      <c r="E17" s="414" t="s">
        <v>207</v>
      </c>
      <c r="F17" s="415" t="s">
        <v>208</v>
      </c>
      <c r="G17" s="491" t="s">
        <v>209</v>
      </c>
      <c r="H17" s="492"/>
      <c r="I17" s="384"/>
      <c r="J17" s="386"/>
      <c r="L17">
        <f>IF(AND(N_200&gt;=50,Ll&lt;50,OR(IP&lt;4,AND(IP&lt;0.73*(Ll-20),IP&lt;10))),"ML","")</f>
      </c>
      <c r="P17">
        <f t="shared" si="0"/>
      </c>
    </row>
    <row r="18" spans="1:16" ht="54.75" customHeight="1">
      <c r="A18" s="384"/>
      <c r="B18" s="483"/>
      <c r="C18" s="487"/>
      <c r="D18" s="488"/>
      <c r="E18" s="414" t="s">
        <v>210</v>
      </c>
      <c r="F18" s="415" t="s">
        <v>211</v>
      </c>
      <c r="G18" s="493"/>
      <c r="H18" s="494"/>
      <c r="I18" s="384"/>
      <c r="J18" s="386"/>
      <c r="L18">
        <f>IF(AND(N_200&gt;=50,Ll&lt;50,IP&gt;=7,IP&gt;=0.73*(Ll-20)),"CL","")</f>
      </c>
      <c r="P18">
        <f t="shared" si="0"/>
      </c>
    </row>
    <row r="19" spans="1:16" ht="39.75" customHeight="1">
      <c r="A19" s="384"/>
      <c r="B19" s="483"/>
      <c r="C19" s="489"/>
      <c r="D19" s="490"/>
      <c r="E19" s="414" t="s">
        <v>212</v>
      </c>
      <c r="F19" s="416" t="s">
        <v>213</v>
      </c>
      <c r="G19" s="417"/>
      <c r="H19" s="417"/>
      <c r="I19" s="384"/>
      <c r="J19" s="386"/>
      <c r="L19">
        <f>IF(AND(N_200&gt;=50,Ll&lt;50,IP&gt;=10,IP&lt;0.73*(Ll-20)),"OL","")</f>
      </c>
      <c r="P19">
        <f t="shared" si="0"/>
      </c>
    </row>
    <row r="20" spans="1:16" ht="39.75" customHeight="1">
      <c r="A20" s="384"/>
      <c r="B20" s="483"/>
      <c r="C20" s="487" t="s">
        <v>214</v>
      </c>
      <c r="D20" s="495"/>
      <c r="E20" s="418" t="s">
        <v>215</v>
      </c>
      <c r="F20" s="419" t="s">
        <v>216</v>
      </c>
      <c r="G20" s="384"/>
      <c r="H20" s="384"/>
      <c r="I20" s="384"/>
      <c r="J20" s="386"/>
      <c r="L20">
        <f>IF(AND(N_200&gt;=50,Ll&gt;=50,IP&gt;0,IP&lt;=16),"MH","")</f>
      </c>
      <c r="P20">
        <f t="shared" si="0"/>
      </c>
    </row>
    <row r="21" spans="1:16" ht="39.75" customHeight="1">
      <c r="A21" s="384"/>
      <c r="B21" s="483"/>
      <c r="C21" s="487"/>
      <c r="D21" s="495"/>
      <c r="E21" s="418" t="s">
        <v>217</v>
      </c>
      <c r="F21" s="419" t="s">
        <v>218</v>
      </c>
      <c r="G21" s="384"/>
      <c r="H21" s="384"/>
      <c r="I21" s="384"/>
      <c r="J21" s="386"/>
      <c r="L21">
        <f>IF(AND(N_200&gt;=50,Ll&gt;=50,IP&gt;=0.73*(Ll-20)),"CH","")</f>
      </c>
      <c r="P21">
        <f t="shared" si="0"/>
      </c>
    </row>
    <row r="22" spans="1:16" ht="39.75" customHeight="1">
      <c r="A22" s="384"/>
      <c r="B22" s="483"/>
      <c r="C22" s="489"/>
      <c r="D22" s="496"/>
      <c r="E22" s="420" t="s">
        <v>219</v>
      </c>
      <c r="F22" s="419" t="s">
        <v>220</v>
      </c>
      <c r="G22" s="384"/>
      <c r="H22" s="384"/>
      <c r="I22" s="384"/>
      <c r="J22" s="386"/>
      <c r="L22">
        <f>IF(AND(N_200&gt;=50,Ll&gt;=50,IP&gt;16,IP&lt;0.73*(Ll-20)),"OH","")</f>
      </c>
      <c r="P22">
        <f t="shared" si="0"/>
      </c>
    </row>
    <row r="23" spans="1:16" ht="49.5" customHeight="1">
      <c r="A23" s="384"/>
      <c r="B23" s="483"/>
      <c r="C23" s="485" t="s">
        <v>221</v>
      </c>
      <c r="D23" s="486"/>
      <c r="E23" s="421" t="s">
        <v>222</v>
      </c>
      <c r="F23" s="422" t="s">
        <v>223</v>
      </c>
      <c r="G23" s="384"/>
      <c r="H23" s="384"/>
      <c r="I23" s="384"/>
      <c r="J23" s="386"/>
      <c r="L23">
        <f>IF(AND(N_200&gt;=50,IP&gt;=0.73*(Ll-20),IP&gt;=4,IP&lt;7,IP&lt;0.9*(Ll-8)),"CL-ML","")</f>
      </c>
      <c r="P23">
        <f t="shared" si="0"/>
      </c>
    </row>
    <row r="24" spans="1:16" ht="13.5" customHeight="1">
      <c r="A24" s="384"/>
      <c r="B24" s="484"/>
      <c r="C24" s="423"/>
      <c r="D24" s="424"/>
      <c r="E24" s="425"/>
      <c r="F24" s="426"/>
      <c r="G24" s="384"/>
      <c r="H24" s="384"/>
      <c r="I24" s="384"/>
      <c r="J24" s="386"/>
      <c r="P24">
        <f t="shared" si="0"/>
      </c>
    </row>
    <row r="25" spans="1:10" ht="12.75">
      <c r="A25" s="384"/>
      <c r="B25" s="427"/>
      <c r="C25" s="427"/>
      <c r="D25" s="427"/>
      <c r="E25" s="428"/>
      <c r="F25" s="429"/>
      <c r="G25" s="384"/>
      <c r="H25" s="384"/>
      <c r="I25" s="384"/>
      <c r="J25" s="386"/>
    </row>
    <row r="26" spans="1:10" ht="12.75">
      <c r="A26" s="384"/>
      <c r="B26" s="427"/>
      <c r="C26" s="427"/>
      <c r="D26" s="427"/>
      <c r="E26" s="430"/>
      <c r="F26" s="429"/>
      <c r="G26" s="384"/>
      <c r="H26" s="384"/>
      <c r="I26" s="384"/>
      <c r="J26" s="386"/>
    </row>
    <row r="27" spans="1:10" ht="12.75">
      <c r="A27" s="384"/>
      <c r="B27" s="384"/>
      <c r="C27" s="384"/>
      <c r="D27" s="384"/>
      <c r="E27" s="430"/>
      <c r="F27" s="429"/>
      <c r="G27" s="384"/>
      <c r="H27" s="384"/>
      <c r="I27" s="384"/>
      <c r="J27" s="386"/>
    </row>
    <row r="28" spans="1:10" ht="12.75">
      <c r="A28" s="384"/>
      <c r="B28" s="384"/>
      <c r="C28" s="384"/>
      <c r="D28" s="384"/>
      <c r="E28" s="430"/>
      <c r="F28" s="429"/>
      <c r="G28" s="384"/>
      <c r="H28" s="384"/>
      <c r="I28" s="384"/>
      <c r="J28" s="386"/>
    </row>
    <row r="29" spans="1:10" ht="12.75">
      <c r="A29" s="384"/>
      <c r="B29" s="384"/>
      <c r="C29" s="384"/>
      <c r="D29" s="384"/>
      <c r="E29" s="430"/>
      <c r="F29" s="429"/>
      <c r="G29" s="384"/>
      <c r="H29" s="384"/>
      <c r="I29" s="384"/>
      <c r="J29" s="386"/>
    </row>
  </sheetData>
  <sheetProtection/>
  <mergeCells count="22">
    <mergeCell ref="B17:B24"/>
    <mergeCell ref="C17:D19"/>
    <mergeCell ref="G17:H18"/>
    <mergeCell ref="C20:D22"/>
    <mergeCell ref="C23:D23"/>
    <mergeCell ref="B1:H1"/>
    <mergeCell ref="B8:D8"/>
    <mergeCell ref="G8:H8"/>
    <mergeCell ref="H11:H12"/>
    <mergeCell ref="C13:C16"/>
    <mergeCell ref="M8:N8"/>
    <mergeCell ref="B9:B16"/>
    <mergeCell ref="C9:C12"/>
    <mergeCell ref="D9:D10"/>
    <mergeCell ref="G9:H9"/>
    <mergeCell ref="D13:D14"/>
    <mergeCell ref="G14:H14"/>
    <mergeCell ref="G10:H10"/>
    <mergeCell ref="D11:D12"/>
    <mergeCell ref="D15:D16"/>
    <mergeCell ref="H15:H16"/>
    <mergeCell ref="G13:H13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OEDC</dc:creator>
  <cp:keywords/>
  <dc:description/>
  <cp:lastModifiedBy>JORGE MOSTAJO</cp:lastModifiedBy>
  <cp:lastPrinted>2007-08-23T03:28:35Z</cp:lastPrinted>
  <dcterms:created xsi:type="dcterms:W3CDTF">2001-12-11T20:36:57Z</dcterms:created>
  <dcterms:modified xsi:type="dcterms:W3CDTF">2009-07-12T05:52:44Z</dcterms:modified>
  <cp:category/>
  <cp:version/>
  <cp:contentType/>
  <cp:contentStatus/>
</cp:coreProperties>
</file>