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_xlnm.Print_Area" localSheetId="5">'SUCS'!$A$1:$I$29</definedName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<sst xmlns="http://schemas.openxmlformats.org/spreadsheetml/2006/main" count="369" uniqueCount="224">
  <si>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</si>
  <si>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</si>
  <si>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</si>
  <si>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</si>
  <si>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</si>
  <si>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</si>
  <si>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</si>
  <si>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</si>
  <si>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</si>
  <si>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</si>
  <si>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</si>
  <si>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</si>
  <si>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</si>
  <si>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</si>
  <si>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</si>
  <si>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</si>
  <si>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</si>
  <si>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</si>
  <si>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</si>
  <si>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</si>
  <si>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</si>
  <si>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</si>
  <si>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</si>
  <si>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</si>
  <si>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</si>
  <si>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</si>
  <si>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</si>
  <si>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</si>
  <si>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</si>
  <si>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</si>
  <si>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</si>
  <si>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</si>
  <si>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</si>
  <si>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</si>
  <si>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</si>
  <si>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</si>
  <si>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</si>
  <si>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</si>
  <si>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</si>
  <si>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</si>
  <si>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</si>
  <si>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</si>
  <si>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</si>
  <si>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</si>
  <si>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</si>
  <si>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</si>
  <si>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</si>
  <si>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</si>
  <si>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</si>
  <si>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</si>
  <si>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</si>
  <si>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</si>
  <si>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</si>
  <si>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</si>
  <si>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</si>
  <si>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</si>
  <si>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</si>
  <si>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</si>
  <si>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</si>
  <si>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</si>
  <si>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</si>
  <si>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</si>
  <si>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</si>
  <si>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</si>
  <si>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</si>
  <si>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</si>
  <si>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</si>
  <si>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</si>
  <si>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</si>
  <si>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</si>
  <si>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</si>
  <si>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</si>
  <si>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</si>
  <si>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</si>
  <si>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</si>
  <si>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</si>
  <si>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</si>
  <si>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</si>
  <si>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</si>
  <si>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</si>
  <si>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</si>
  <si>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</si>
  <si>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</si>
  <si>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</si>
  <si>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</si>
  <si>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</si>
  <si>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</si>
  <si>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</si>
  <si>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</si>
  <si>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</si>
  <si>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</si>
  <si>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</si>
  <si>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</si>
  <si>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</si>
  <si>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</si>
  <si>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</si>
  <si>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</si>
  <si>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</si>
  <si>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</si>
  <si>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</si>
  <si>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</si>
  <si>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</si>
  <si>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</si>
  <si>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</si>
  <si>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</si>
  <si>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</si>
  <si>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</si>
  <si>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</si>
  <si>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t>PESO ESP. RELATIVO DE SOLIDOS (Ss)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</si>
  <si>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</si>
  <si>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</si>
  <si>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</si>
  <si>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</si>
  <si>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</si>
  <si>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</si>
  <si>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</si>
  <si>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</si>
  <si>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C1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</si>
  <si>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</si>
  <si>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</si>
  <si>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</si>
  <si>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</si>
  <si>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</si>
  <si>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</si>
  <si>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LEM 15</t>
  </si>
  <si>
    <t>C1-M1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</si>
  <si>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</si>
  <si>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</si>
  <si>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</si>
  <si>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</si>
  <si>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</si>
  <si>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</si>
  <si>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</si>
  <si>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</si>
  <si>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</si>
  <si>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</si>
  <si>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</si>
  <si>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</si>
  <si>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</si>
  <si>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</si>
  <si>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</si>
  <si>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</si>
  <si>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</si>
  <si>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</si>
  <si>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</si>
  <si>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</si>
  <si>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t>No frasco</t>
  </si>
  <si>
    <t>W frasco w</t>
  </si>
  <si>
    <t>W frasco sw</t>
  </si>
  <si>
    <t>W s :  6-5</t>
  </si>
  <si>
    <t>Gs : 7/(2-3+7)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</si>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</sst>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2" fontId="6" fillId="35" borderId="28" xfId="0" applyNumberFormat="1" applyFont="1" applyFill="1" applyBorder="1" applyAlignment="1" applyProtection="1">
      <alignment/>
      <protection locked="0"/>
    </xf>
    <xf numFmtId="2" fontId="6" fillId="35" borderId="41" xfId="0" applyNumberFormat="1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55" xfId="0" applyFont="1" applyFill="1" applyBorder="1" applyAlignment="1" applyProtection="1">
      <alignment horizontal="center"/>
      <protection/>
    </xf>
    <xf numFmtId="0" fontId="1" fillId="36" borderId="56" xfId="0" applyFont="1" applyFill="1" applyBorder="1" applyAlignment="1" applyProtection="1">
      <alignment horizontal="center"/>
      <protection/>
    </xf>
    <xf numFmtId="0" fontId="1" fillId="33" borderId="57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8" xfId="0" applyFont="1" applyFill="1" applyBorder="1" applyAlignment="1">
      <alignment horizontal="center" vertical="center" wrapText="1"/>
    </xf>
    <xf numFmtId="0" fontId="23" fillId="38" borderId="5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9" xfId="0" applyFont="1" applyFill="1" applyBorder="1" applyAlignment="1">
      <alignment horizontal="center" vertical="center"/>
    </xf>
    <xf numFmtId="0" fontId="28" fillId="40" borderId="59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60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60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61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61" xfId="0" applyFont="1" applyFill="1" applyBorder="1" applyAlignment="1">
      <alignment vertical="center" wrapText="1"/>
    </xf>
    <xf numFmtId="0" fontId="21" fillId="43" borderId="59" xfId="0" applyFont="1" applyFill="1" applyBorder="1" applyAlignment="1">
      <alignment horizontal="center" vertical="center"/>
    </xf>
    <xf numFmtId="0" fontId="21" fillId="43" borderId="62" xfId="0" applyFont="1" applyFill="1" applyBorder="1" applyAlignment="1">
      <alignment horizontal="center" vertical="center"/>
    </xf>
    <xf numFmtId="0" fontId="29" fillId="43" borderId="63" xfId="0" applyFont="1" applyFill="1" applyBorder="1" applyAlignment="1">
      <alignment vertical="center"/>
    </xf>
    <xf numFmtId="0" fontId="31" fillId="44" borderId="64" xfId="0" applyFont="1" applyFill="1" applyBorder="1" applyAlignment="1">
      <alignment/>
    </xf>
    <xf numFmtId="0" fontId="31" fillId="44" borderId="65" xfId="0" applyFont="1" applyFill="1" applyBorder="1" applyAlignment="1">
      <alignment/>
    </xf>
    <xf numFmtId="0" fontId="35" fillId="43" borderId="66" xfId="0" applyFont="1" applyFill="1" applyBorder="1" applyAlignment="1">
      <alignment horizontal="center"/>
    </xf>
    <xf numFmtId="0" fontId="36" fillId="43" borderId="67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2" fontId="39" fillId="34" borderId="15" xfId="0" applyNumberFormat="1" applyFont="1" applyFill="1" applyBorder="1" applyAlignment="1" applyProtection="1">
      <alignment horizontal="centerContinuous"/>
      <protection/>
    </xf>
    <xf numFmtId="0" fontId="1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8" xfId="0" applyFont="1" applyFill="1" applyBorder="1" applyAlignment="1" applyProtection="1">
      <alignment horizontal="left" indent="1"/>
      <protection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71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0" fontId="12" fillId="33" borderId="74" xfId="0" applyFont="1" applyFill="1" applyBorder="1" applyAlignment="1" applyProtection="1">
      <alignment horizontal="left" indent="1"/>
      <protection/>
    </xf>
    <xf numFmtId="0" fontId="12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26" fillId="45" borderId="0" xfId="0" applyFont="1" applyFill="1" applyBorder="1" applyAlignment="1">
      <alignment horizontal="center" vertical="center" textRotation="90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76" xfId="0" applyFont="1" applyFill="1" applyBorder="1" applyAlignment="1">
      <alignment horizontal="center" vertical="center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76" xfId="0" applyFont="1" applyFill="1" applyBorder="1" applyAlignment="1">
      <alignment horizontal="center" vertical="center" wrapText="1"/>
    </xf>
    <xf numFmtId="0" fontId="29" fillId="41" borderId="63" xfId="0" applyFont="1" applyFill="1" applyBorder="1" applyAlignment="1">
      <alignment horizontal="left" vertical="center" wrapText="1"/>
    </xf>
    <xf numFmtId="0" fontId="29" fillId="41" borderId="77" xfId="0" applyFont="1" applyFill="1" applyBorder="1" applyAlignment="1">
      <alignment horizontal="left" vertical="center" wrapText="1"/>
    </xf>
    <xf numFmtId="0" fontId="21" fillId="38" borderId="0" xfId="0" applyFont="1" applyFill="1" applyAlignment="1">
      <alignment horizontal="center"/>
    </xf>
    <xf numFmtId="0" fontId="16" fillId="38" borderId="58" xfId="0" applyFont="1" applyFill="1" applyBorder="1" applyAlignment="1">
      <alignment horizontal="center" vertical="center"/>
    </xf>
    <xf numFmtId="0" fontId="23" fillId="38" borderId="58" xfId="0" applyFont="1" applyFill="1" applyBorder="1" applyAlignment="1">
      <alignment horizontal="center" vertical="center" wrapText="1"/>
    </xf>
    <xf numFmtId="0" fontId="28" fillId="40" borderId="63" xfId="0" applyFont="1" applyFill="1" applyBorder="1" applyAlignment="1">
      <alignment horizontal="left" vertical="center" wrapText="1"/>
    </xf>
    <xf numFmtId="0" fontId="28" fillId="40" borderId="77" xfId="0" applyFont="1" applyFill="1" applyBorder="1" applyAlignment="1">
      <alignment horizontal="left" vertical="center" wrapText="1"/>
    </xf>
    <xf numFmtId="0" fontId="26" fillId="45" borderId="6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79" xfId="0" applyFont="1" applyFill="1" applyBorder="1" applyAlignment="1">
      <alignment horizontal="center" vertical="center" textRotation="90" wrapText="1"/>
    </xf>
    <xf numFmtId="0" fontId="26" fillId="45" borderId="59" xfId="0" applyFont="1" applyFill="1" applyBorder="1" applyAlignment="1">
      <alignment horizontal="center" vertical="center" textRotation="90" wrapText="1"/>
    </xf>
    <xf numFmtId="0" fontId="28" fillId="40" borderId="68" xfId="0" applyFont="1" applyFill="1" applyBorder="1" applyAlignment="1">
      <alignment horizontal="center" vertical="center" wrapText="1"/>
    </xf>
    <xf numFmtId="0" fontId="28" fillId="40" borderId="80" xfId="0" applyFont="1" applyFill="1" applyBorder="1" applyAlignment="1">
      <alignment horizontal="center" vertical="center" wrapText="1"/>
    </xf>
    <xf numFmtId="0" fontId="30" fillId="44" borderId="81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82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71" xfId="0" applyFont="1" applyFill="1" applyBorder="1" applyAlignment="1">
      <alignment horizontal="center" vertical="center" textRotation="90" wrapText="1"/>
    </xf>
    <xf numFmtId="0" fontId="31" fillId="44" borderId="83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5" xfId="0" applyFont="1" applyFill="1" applyBorder="1" applyAlignment="1">
      <alignment horizontal="left" vertical="center" wrapText="1"/>
    </xf>
    <xf numFmtId="0" fontId="33" fillId="42" borderId="64" xfId="0" applyFont="1" applyFill="1" applyBorder="1" applyAlignment="1">
      <alignment horizontal="left" vertical="center" wrapText="1"/>
    </xf>
    <xf numFmtId="0" fontId="33" fillId="42" borderId="86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55528078"/>
        <c:axId val="29990655"/>
      </c:scatterChart>
      <c:valAx>
        <c:axId val="5552807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 val="autoZero"/>
        <c:crossBetween val="midCat"/>
        <c:dispUnits/>
        <c:majorUnit val="10"/>
        <c:minorUnit val="10"/>
      </c:valAx>
      <c:valAx>
        <c:axId val="299906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1480440"/>
        <c:axId val="13323961"/>
      </c:scatterChart>
      <c:valAx>
        <c:axId val="1480440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 val="autoZero"/>
        <c:crossBetween val="midCat"/>
        <c:dispUnits/>
      </c:valAx>
      <c:valAx>
        <c:axId val="13323961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044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315"/>
          <c:w val="0.873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91.97107333164172</c:v>
                </c:pt>
                <c:pt idx="3">
                  <c:v>81.67089571174829</c:v>
                </c:pt>
                <c:pt idx="4">
                  <c:v>78.0091347373763</c:v>
                </c:pt>
                <c:pt idx="5">
                  <c:v>67.4138543516874</c:v>
                </c:pt>
                <c:pt idx="6">
                  <c:v>59.33291042882519</c:v>
                </c:pt>
                <c:pt idx="7">
                  <c:v>51.49226084750065</c:v>
                </c:pt>
                <c:pt idx="8">
                  <c:v>46.80994671403199</c:v>
                </c:pt>
                <c:pt idx="9">
                  <c:v>43.88048718599342</c:v>
                </c:pt>
                <c:pt idx="10">
                  <c:v>41.558487693478824</c:v>
                </c:pt>
                <c:pt idx="11">
                  <c:v>38.34712002029943</c:v>
                </c:pt>
                <c:pt idx="12">
                  <c:v>33.555442781020055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52806786"/>
        <c:axId val="5499027"/>
      </c:scatterChart>
      <c:valAx>
        <c:axId val="5280678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 val="autoZero"/>
        <c:crossBetween val="midCat"/>
        <c:dispUnits/>
        <c:majorUnit val="10"/>
        <c:minorUnit val="10"/>
      </c:valAx>
      <c:valAx>
        <c:axId val="54990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25"/>
          <c:w val="0.94575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18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4.084188279446497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49491244"/>
        <c:axId val="42768013"/>
      </c:scatterChart>
      <c:valAx>
        <c:axId val="4949124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 val="autoZero"/>
        <c:crossBetween val="midCat"/>
        <c:dispUnits/>
        <c:majorUnit val="10"/>
      </c:valAx>
      <c:valAx>
        <c:axId val="4276801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675"/>
          <c:w val="0.925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23.4</c:v>
                </c:pt>
                <c:pt idx="1">
                  <c:v>23.4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27</c:v>
                </c:pt>
                <c:pt idx="1">
                  <c:v>18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23.4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43</c:v>
                </c:pt>
                <c:pt idx="1">
                  <c:v>11</c:v>
                </c:pt>
                <c:pt idx="2">
                  <c:v>23</c:v>
                </c:pt>
                <c:pt idx="3">
                  <c:v>16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21.352313167259805</c:v>
                </c:pt>
                <c:pt idx="1">
                  <c:v>26.799999999999997</c:v>
                </c:pt>
                <c:pt idx="2">
                  <c:v>23.55460385438971</c:v>
                </c:pt>
                <c:pt idx="3">
                  <c:v>25.105307497893854</c:v>
                </c:pt>
              </c:numCache>
            </c:numRef>
          </c:yVal>
          <c:smooth val="0"/>
        </c:ser>
        <c:axId val="49367798"/>
        <c:axId val="41656999"/>
      </c:scatterChart>
      <c:valAx>
        <c:axId val="49367798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 val="autoZero"/>
        <c:crossBetween val="midCat"/>
        <c:dispUnits/>
      </c:valAx>
      <c:valAx>
        <c:axId val="41656999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0.89775</cdr:y>
    </cdr:from>
    <cdr:to>
      <cdr:x>0.92375</cdr:x>
      <cdr:y>0.955</cdr:y>
    </cdr:to>
    <cdr:sp>
      <cdr:nvSpPr>
        <cdr:cNvPr id="1" name="Rectangle 1"/>
        <cdr:cNvSpPr>
          <a:spLocks/>
        </cdr:cNvSpPr>
      </cdr:nvSpPr>
      <cdr:spPr>
        <a:xfrm>
          <a:off x="704850" y="2905125"/>
          <a:ext cx="57150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0.89775</cdr:y>
    </cdr:from>
    <cdr:to>
      <cdr:x>0.29</cdr:x>
      <cdr:y>0.955</cdr:y>
    </cdr:to>
    <cdr:sp>
      <cdr:nvSpPr>
        <cdr:cNvPr id="2" name="Line 2"/>
        <cdr:cNvSpPr>
          <a:spLocks/>
        </cdr:cNvSpPr>
      </cdr:nvSpPr>
      <cdr:spPr>
        <a:xfrm>
          <a:off x="2009775" y="2905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0.92625</cdr:y>
    </cdr:from>
    <cdr:to>
      <cdr:x>0.92375</cdr:x>
      <cdr:y>0.92625</cdr:y>
    </cdr:to>
    <cdr:sp>
      <cdr:nvSpPr>
        <cdr:cNvPr id="3" name="Line 3"/>
        <cdr:cNvSpPr>
          <a:spLocks/>
        </cdr:cNvSpPr>
      </cdr:nvSpPr>
      <cdr:spPr>
        <a:xfrm flipH="1">
          <a:off x="2009775" y="299085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0.89775</cdr:y>
    </cdr:from>
    <cdr:to>
      <cdr:x>0.44625</cdr:x>
      <cdr:y>0.92625</cdr:y>
    </cdr:to>
    <cdr:sp>
      <cdr:nvSpPr>
        <cdr:cNvPr id="4" name="Line 4"/>
        <cdr:cNvSpPr>
          <a:spLocks/>
        </cdr:cNvSpPr>
      </cdr:nvSpPr>
      <cdr:spPr>
        <a:xfrm>
          <a:off x="3095625" y="2905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0.89775</cdr:y>
    </cdr:from>
    <cdr:to>
      <cdr:x>0.587</cdr:x>
      <cdr:y>0.929</cdr:y>
    </cdr:to>
    <cdr:sp>
      <cdr:nvSpPr>
        <cdr:cNvPr id="5" name="Line 5"/>
        <cdr:cNvSpPr>
          <a:spLocks/>
        </cdr:cNvSpPr>
      </cdr:nvSpPr>
      <cdr:spPr>
        <a:xfrm>
          <a:off x="4076700" y="2905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0.90025</cdr:y>
    </cdr:from>
    <cdr:to>
      <cdr:x>0.6655</cdr:x>
      <cdr:y>0.955</cdr:y>
    </cdr:to>
    <cdr:sp>
      <cdr:nvSpPr>
        <cdr:cNvPr id="6" name="Line 6"/>
        <cdr:cNvSpPr>
          <a:spLocks/>
        </cdr:cNvSpPr>
      </cdr:nvSpPr>
      <cdr:spPr>
        <a:xfrm>
          <a:off x="4619625" y="2914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0.7905</cdr:x>
      <cdr:y>0.89775</cdr:y>
    </cdr:from>
    <cdr:to>
      <cdr:x>0.7905</cdr:x>
      <cdr:y>0.92625</cdr:y>
    </cdr:to>
    <cdr:sp>
      <cdr:nvSpPr>
        <cdr:cNvPr id="7" name="Line 7"/>
        <cdr:cNvSpPr>
          <a:spLocks/>
        </cdr:cNvSpPr>
      </cdr:nvSpPr>
      <cdr:spPr>
        <a:xfrm>
          <a:off x="5495925" y="2905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0.9105</cdr:y>
    </cdr:from>
    <cdr:to>
      <cdr:x>0.3285</cdr:x>
      <cdr:y>0.97175</cdr:y>
    </cdr:to>
    <cdr:sp>
      <cdr:nvSpPr>
        <cdr:cNvPr id="8" name="Texto 8"/>
        <cdr:cNvSpPr txBox="1">
          <a:spLocks noChangeArrowheads="1"/>
        </cdr:cNvSpPr>
      </cdr:nvSpPr>
      <cdr:spPr>
        <a:xfrm>
          <a:off x="942975" y="2943225"/>
          <a:ext cx="1333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0.345</cdr:x>
      <cdr:y>0.892</cdr:y>
    </cdr:from>
    <cdr:to>
      <cdr:x>0.41675</cdr:x>
      <cdr:y>0.93475</cdr:y>
    </cdr:to>
    <cdr:sp>
      <cdr:nvSpPr>
        <cdr:cNvPr id="9" name="Texto 9"/>
        <cdr:cNvSpPr txBox="1">
          <a:spLocks noChangeArrowheads="1"/>
        </cdr:cNvSpPr>
      </cdr:nvSpPr>
      <cdr:spPr>
        <a:xfrm>
          <a:off x="2390775" y="2886075"/>
          <a:ext cx="495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0.45525</cdr:x>
      <cdr:y>0.9195</cdr:y>
    </cdr:from>
    <cdr:to>
      <cdr:x>0.5525</cdr:x>
      <cdr:y>0.96725</cdr:y>
    </cdr:to>
    <cdr:sp>
      <cdr:nvSpPr>
        <cdr:cNvPr id="10" name="Texto 10"/>
        <cdr:cNvSpPr txBox="1">
          <a:spLocks noChangeArrowheads="1"/>
        </cdr:cNvSpPr>
      </cdr:nvSpPr>
      <cdr:spPr>
        <a:xfrm>
          <a:off x="3162300" y="29718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0.7685</cdr:x>
      <cdr:y>0.92225</cdr:y>
    </cdr:from>
    <cdr:to>
      <cdr:x>0.86175</cdr:x>
      <cdr:y>0.97525</cdr:y>
    </cdr:to>
    <cdr:sp>
      <cdr:nvSpPr>
        <cdr:cNvPr id="11" name="Texto 11"/>
        <cdr:cNvSpPr txBox="1">
          <a:spLocks noChangeArrowheads="1"/>
        </cdr:cNvSpPr>
      </cdr:nvSpPr>
      <cdr:spPr>
        <a:xfrm>
          <a:off x="5343525" y="29813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0.263</cdr:x>
      <cdr:y>0.86025</cdr:y>
    </cdr:from>
    <cdr:to>
      <cdr:x>0.35625</cdr:x>
      <cdr:y>0.93475</cdr:y>
    </cdr:to>
    <cdr:sp>
      <cdr:nvSpPr>
        <cdr:cNvPr id="12" name="Texto 12"/>
        <cdr:cNvSpPr txBox="1">
          <a:spLocks noChangeArrowheads="1"/>
        </cdr:cNvSpPr>
      </cdr:nvSpPr>
      <cdr:spPr>
        <a:xfrm>
          <a:off x="1819275" y="2781300"/>
          <a:ext cx="647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0.49125</cdr:x>
      <cdr:y>0.89275</cdr:y>
    </cdr:from>
    <cdr:to>
      <cdr:x>0.58275</cdr:x>
      <cdr:y>0.954</cdr:y>
    </cdr:to>
    <cdr:sp>
      <cdr:nvSpPr>
        <cdr:cNvPr id="13" name="Texto 13"/>
        <cdr:cNvSpPr txBox="1">
          <a:spLocks noChangeArrowheads="1"/>
        </cdr:cNvSpPr>
      </cdr:nvSpPr>
      <cdr:spPr>
        <a:xfrm>
          <a:off x="3409950" y="2886075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0.5985</cdr:x>
      <cdr:y>0.891</cdr:y>
    </cdr:from>
    <cdr:to>
      <cdr:x>0.703</cdr:x>
      <cdr:y>0.9415</cdr:y>
    </cdr:to>
    <cdr:sp>
      <cdr:nvSpPr>
        <cdr:cNvPr id="14" name="Texto 14"/>
        <cdr:cNvSpPr txBox="1">
          <a:spLocks noChangeArrowheads="1"/>
        </cdr:cNvSpPr>
      </cdr:nvSpPr>
      <cdr:spPr>
        <a:xfrm>
          <a:off x="4152900" y="2876550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0.71125</cdr:x>
      <cdr:y>0.893</cdr:y>
    </cdr:from>
    <cdr:to>
      <cdr:x>0.78325</cdr:x>
      <cdr:y>0.95425</cdr:y>
    </cdr:to>
    <cdr:sp>
      <cdr:nvSpPr>
        <cdr:cNvPr id="15" name="Texto 15"/>
        <cdr:cNvSpPr txBox="1">
          <a:spLocks noChangeArrowheads="1"/>
        </cdr:cNvSpPr>
      </cdr:nvSpPr>
      <cdr:spPr>
        <a:xfrm>
          <a:off x="4943475" y="2886075"/>
          <a:ext cx="504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0.8265</cdr:x>
      <cdr:y>0.893</cdr:y>
    </cdr:from>
    <cdr:to>
      <cdr:x>0.92375</cdr:x>
      <cdr:y>0.96225</cdr:y>
    </cdr:to>
    <cdr:sp>
      <cdr:nvSpPr>
        <cdr:cNvPr id="16" name="Texto 16"/>
        <cdr:cNvSpPr txBox="1">
          <a:spLocks noChangeArrowheads="1"/>
        </cdr:cNvSpPr>
      </cdr:nvSpPr>
      <cdr:spPr>
        <a:xfrm>
          <a:off x="5743575" y="288607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0.41925</cdr:x>
      <cdr:y>0.8575</cdr:y>
    </cdr:from>
    <cdr:to>
      <cdr:x>0.51175</cdr:x>
      <cdr:y>0.911</cdr:y>
    </cdr:to>
    <cdr:sp>
      <cdr:nvSpPr>
        <cdr:cNvPr id="17" name="Texto 17"/>
        <cdr:cNvSpPr txBox="1">
          <a:spLocks noChangeArrowheads="1"/>
        </cdr:cNvSpPr>
      </cdr:nvSpPr>
      <cdr:spPr>
        <a:xfrm>
          <a:off x="2914650" y="277177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0.569</cdr:x>
      <cdr:y>0.859</cdr:y>
    </cdr:from>
    <cdr:to>
      <cdr:x>0.66125</cdr:x>
      <cdr:y>0.90425</cdr:y>
    </cdr:to>
    <cdr:sp>
      <cdr:nvSpPr>
        <cdr:cNvPr id="18" name="Texto 18"/>
        <cdr:cNvSpPr txBox="1">
          <a:spLocks noChangeArrowheads="1"/>
        </cdr:cNvSpPr>
      </cdr:nvSpPr>
      <cdr:spPr>
        <a:xfrm>
          <a:off x="3952875" y="27813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</cdr:x>
      <cdr:y>0.86025</cdr:y>
    </cdr:from>
    <cdr:to>
      <cdr:x>0.70875</cdr:x>
      <cdr:y>0.92925</cdr:y>
    </cdr:to>
    <cdr:sp>
      <cdr:nvSpPr>
        <cdr:cNvPr id="19" name="Texto 19"/>
        <cdr:cNvSpPr txBox="1">
          <a:spLocks noChangeArrowheads="1"/>
        </cdr:cNvSpPr>
      </cdr:nvSpPr>
      <cdr:spPr>
        <a:xfrm>
          <a:off x="4505325" y="2781300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0.7685</cdr:x>
      <cdr:y>0.86025</cdr:y>
    </cdr:from>
    <cdr:to>
      <cdr:x>0.86</cdr:x>
      <cdr:y>0.92925</cdr:y>
    </cdr:to>
    <cdr:sp>
      <cdr:nvSpPr>
        <cdr:cNvPr id="20" name="Texto 20"/>
        <cdr:cNvSpPr txBox="1">
          <a:spLocks noChangeArrowheads="1"/>
        </cdr:cNvSpPr>
      </cdr:nvSpPr>
      <cdr:spPr>
        <a:xfrm>
          <a:off x="5343525" y="27813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0.89925</cdr:x>
      <cdr:y>0.86025</cdr:y>
    </cdr:from>
    <cdr:to>
      <cdr:x>0.9875</cdr:x>
      <cdr:y>0.9215</cdr:y>
    </cdr:to>
    <cdr:sp>
      <cdr:nvSpPr>
        <cdr:cNvPr id="21" name="Texto 21"/>
        <cdr:cNvSpPr txBox="1">
          <a:spLocks noChangeArrowheads="1"/>
        </cdr:cNvSpPr>
      </cdr:nvSpPr>
      <cdr:spPr>
        <a:xfrm>
          <a:off x="6248400" y="2781300"/>
          <a:ext cx="609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0.20975</cdr:y>
    </cdr:from>
    <cdr:to>
      <cdr:x>0.732</cdr:x>
      <cdr:y>0.29075</cdr:y>
    </cdr:to>
    <cdr:sp>
      <cdr:nvSpPr>
        <cdr:cNvPr id="1" name="Texto 1"/>
        <cdr:cNvSpPr txBox="1">
          <a:spLocks noChangeArrowheads="1"/>
        </cdr:cNvSpPr>
      </cdr:nvSpPr>
      <cdr:spPr>
        <a:xfrm>
          <a:off x="2305050" y="5429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0.65525</cdr:x>
      <cdr:y>0.4555</cdr:y>
    </cdr:from>
    <cdr:to>
      <cdr:x>0.91425</cdr:x>
      <cdr:y>0.56875</cdr:y>
    </cdr:to>
    <cdr:sp>
      <cdr:nvSpPr>
        <cdr:cNvPr id="2" name="Texto 2"/>
        <cdr:cNvSpPr txBox="1">
          <a:spLocks noChangeArrowheads="1"/>
        </cdr:cNvSpPr>
      </cdr:nvSpPr>
      <cdr:spPr>
        <a:xfrm>
          <a:off x="2466975" y="1171575"/>
          <a:ext cx="9810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0.5365</cdr:y>
    </cdr:from>
    <cdr:to>
      <cdr:x>0.75975</cdr:x>
      <cdr:y>0.60925</cdr:y>
    </cdr:to>
    <cdr:sp>
      <cdr:nvSpPr>
        <cdr:cNvPr id="3" name="Texto 3"/>
        <cdr:cNvSpPr txBox="1">
          <a:spLocks noChangeArrowheads="1"/>
        </cdr:cNvSpPr>
      </cdr:nvSpPr>
      <cdr:spPr>
        <a:xfrm>
          <a:off x="2362200" y="13811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0.3805</cdr:x>
      <cdr:y>0.55525</cdr:y>
    </cdr:from>
    <cdr:to>
      <cdr:x>0.4965</cdr:x>
      <cdr:y>0.628</cdr:y>
    </cdr:to>
    <cdr:sp>
      <cdr:nvSpPr>
        <cdr:cNvPr id="4" name="Texto 4"/>
        <cdr:cNvSpPr txBox="1">
          <a:spLocks noChangeArrowheads="1"/>
        </cdr:cNvSpPr>
      </cdr:nvSpPr>
      <cdr:spPr>
        <a:xfrm>
          <a:off x="1428750" y="143827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0.39875</cdr:x>
      <cdr:y>0.71175</cdr:y>
    </cdr:from>
    <cdr:to>
      <cdr:x>0.51475</cdr:x>
      <cdr:y>0.7845</cdr:y>
    </cdr:to>
    <cdr:sp>
      <cdr:nvSpPr>
        <cdr:cNvPr id="5" name="Texto 5"/>
        <cdr:cNvSpPr txBox="1">
          <a:spLocks noChangeArrowheads="1"/>
        </cdr:cNvSpPr>
      </cdr:nvSpPr>
      <cdr:spPr>
        <a:xfrm>
          <a:off x="1495425" y="18383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0.18875</cdr:x>
      <cdr:y>0.73575</cdr:y>
    </cdr:from>
    <cdr:to>
      <cdr:x>0.30475</cdr:x>
      <cdr:y>0.79275</cdr:y>
    </cdr:to>
    <cdr:sp>
      <cdr:nvSpPr>
        <cdr:cNvPr id="6" name="Texto 6"/>
        <cdr:cNvSpPr txBox="1">
          <a:spLocks noChangeArrowheads="1"/>
        </cdr:cNvSpPr>
      </cdr:nvSpPr>
      <cdr:spPr>
        <a:xfrm>
          <a:off x="704850" y="1905000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0.87975</cdr:y>
    </cdr:from>
    <cdr:to>
      <cdr:x>0.5295</cdr:x>
      <cdr:y>0.96275</cdr:y>
    </cdr:to>
    <cdr:sp>
      <cdr:nvSpPr>
        <cdr:cNvPr id="1" name="Texto 1"/>
        <cdr:cNvSpPr txBox="1">
          <a:spLocks noChangeArrowheads="1"/>
        </cdr:cNvSpPr>
      </cdr:nvSpPr>
      <cdr:spPr>
        <a:xfrm>
          <a:off x="1733550" y="225742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2"/>
      <c r="D1" s="27"/>
    </row>
    <row r="2" spans="1:4" s="42" customFormat="1" ht="12.75" customHeight="1">
      <c r="A2" s="116" t="s">
        <v>1</v>
      </c>
      <c r="B2" s="69"/>
      <c r="C2" s="318" t="s">
        <v>123</v>
      </c>
      <c r="D2" s="323"/>
    </row>
    <row r="3" spans="1:4" s="42" customFormat="1" ht="12.75" customHeight="1">
      <c r="A3" s="221" t="s">
        <v>2</v>
      </c>
      <c r="B3" s="68"/>
      <c r="C3" s="327" t="s">
        <v>125</v>
      </c>
      <c r="D3" s="306"/>
    </row>
    <row r="4" spans="1:4" s="42" customFormat="1" ht="12.75" customHeight="1">
      <c r="A4" s="67" t="s">
        <v>3</v>
      </c>
      <c r="B4" s="68"/>
      <c r="C4" s="315" t="s">
        <v>120</v>
      </c>
      <c r="D4" s="307"/>
    </row>
    <row r="5" spans="1:4" s="42" customFormat="1" ht="12.75" customHeight="1">
      <c r="A5" s="67" t="s">
        <v>4</v>
      </c>
      <c r="B5" s="68"/>
      <c r="C5" s="315" t="s">
        <v>121</v>
      </c>
      <c r="D5" s="307"/>
    </row>
    <row r="6" spans="1:4" s="42" customFormat="1" ht="12.75" customHeight="1">
      <c r="A6" s="67" t="s">
        <v>5</v>
      </c>
      <c r="B6" s="68"/>
      <c r="C6" s="315" t="s">
        <v>122</v>
      </c>
      <c r="D6" s="307"/>
    </row>
    <row r="7" spans="1:4" s="42" customFormat="1" ht="12.75" customHeight="1" thickBot="1">
      <c r="A7" s="158" t="s">
        <v>6</v>
      </c>
      <c r="B7" s="9"/>
      <c r="C7" s="319" t="s">
        <v>118</v>
      </c>
      <c r="D7" s="308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2"/>
      <c r="D9" s="27"/>
    </row>
    <row r="10" spans="1:4" s="42" customFormat="1" ht="12.75" customHeight="1">
      <c r="A10" s="313" t="s">
        <v>8</v>
      </c>
      <c r="B10" s="297"/>
      <c r="C10" s="320" t="s">
        <v>128</v>
      </c>
      <c r="D10" s="309"/>
    </row>
    <row r="11" spans="1:4" s="42" customFormat="1" ht="12.75" customHeight="1">
      <c r="A11" s="221" t="s">
        <v>9</v>
      </c>
      <c r="B11" s="66"/>
      <c r="C11" s="316" t="s">
        <v>117</v>
      </c>
      <c r="D11" s="310"/>
    </row>
    <row r="12" spans="1:4" s="42" customFormat="1" ht="12.75" customHeight="1">
      <c r="A12" s="314" t="s">
        <v>10</v>
      </c>
      <c r="B12" s="66"/>
      <c r="C12" s="317" t="s">
        <v>119</v>
      </c>
      <c r="D12" s="310"/>
    </row>
    <row r="13" spans="1:4" s="42" customFormat="1" ht="12.75" customHeight="1">
      <c r="A13" s="221" t="s">
        <v>11</v>
      </c>
      <c r="B13" s="66" t="s">
        <v>12</v>
      </c>
      <c r="C13" s="316">
        <v>2.1</v>
      </c>
      <c r="D13" s="311"/>
    </row>
    <row r="14" spans="1:4" s="42" customFormat="1" ht="12.75" customHeight="1">
      <c r="A14" s="221" t="s">
        <v>13</v>
      </c>
      <c r="B14" s="66" t="s">
        <v>12</v>
      </c>
      <c r="C14" s="316">
        <v>3</v>
      </c>
      <c r="D14" s="311"/>
    </row>
    <row r="15" spans="1:4" s="42" customFormat="1" ht="12.75" customHeight="1">
      <c r="A15" s="222" t="s">
        <v>14</v>
      </c>
      <c r="B15" s="223"/>
      <c r="C15" s="316" t="s">
        <v>126</v>
      </c>
      <c r="D15" s="311"/>
    </row>
    <row r="16" spans="1:4" s="42" customFormat="1" ht="12.75" customHeight="1">
      <c r="A16" s="222"/>
      <c r="B16" s="223"/>
      <c r="C16" s="316" t="s">
        <v>127</v>
      </c>
      <c r="D16" s="311"/>
    </row>
    <row r="17" spans="1:4" s="42" customFormat="1" ht="12.75" customHeight="1" thickBot="1">
      <c r="A17" s="118"/>
      <c r="B17" s="169"/>
      <c r="C17" s="321"/>
      <c r="D17" s="312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1">
      <selection activeCell="J19" sqref="J19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C1-M1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6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124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638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4970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4579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391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3941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4"/>
      <c r="D12" s="77"/>
      <c r="E12" s="65" t="s">
        <v>29</v>
      </c>
      <c r="F12" s="23">
        <f>IF($F$6=0,"-",100*F10/F11)</f>
        <v>9.921339761481857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6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5">
        <v>3273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2635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16.42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2641.0000000000005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0.0024844233699675717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-6.000000000000455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0.04484312386763096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1322.42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5.029721294929914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33.55544278102005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-0.2277039848197516</v>
      </c>
      <c r="G22" s="37"/>
      <c r="H22" s="118" t="s">
        <v>44</v>
      </c>
      <c r="I22" s="119"/>
      <c r="J22" s="102">
        <f>IF(OR($F$6=0,C27=0),"-",IF(J19^2/(J18*J20)&lt;99,J19^2/(J18*J20),"&gt; 99"))</f>
        <v>0.1609245084118276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7" t="s">
        <v>53</v>
      </c>
      <c r="C27" s="279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7" t="s">
        <v>54</v>
      </c>
      <c r="C28" s="280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8" t="s">
        <v>55</v>
      </c>
      <c r="C29" s="280">
        <v>37.5</v>
      </c>
      <c r="D29" s="103">
        <v>316.42</v>
      </c>
      <c r="E29" s="104"/>
      <c r="F29" s="101">
        <f t="shared" si="0"/>
        <v>316.42</v>
      </c>
      <c r="G29" s="36"/>
      <c r="H29" s="36">
        <f t="shared" si="1"/>
        <v>8.028926668358285</v>
      </c>
      <c r="I29" s="101">
        <f>IF($F$6=0,"-",SUM($H$27:H29))</f>
        <v>8.028926668358285</v>
      </c>
      <c r="J29" s="33">
        <f t="shared" si="5"/>
        <v>91.97107333164172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7" t="s">
        <v>56</v>
      </c>
      <c r="C30" s="280">
        <v>25</v>
      </c>
      <c r="D30" s="103">
        <v>405.93</v>
      </c>
      <c r="E30" s="104"/>
      <c r="F30" s="101">
        <f t="shared" si="0"/>
        <v>405.93</v>
      </c>
      <c r="G30" s="36"/>
      <c r="H30" s="36">
        <f t="shared" si="1"/>
        <v>10.300177619893429</v>
      </c>
      <c r="I30" s="101">
        <f>IF($F$6=0,"-",SUM($H$27:H30))</f>
        <v>18.329104288251713</v>
      </c>
      <c r="J30" s="33">
        <f t="shared" si="5"/>
        <v>81.67089571174829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7" t="s">
        <v>57</v>
      </c>
      <c r="C31" s="280">
        <v>19</v>
      </c>
      <c r="D31" s="103">
        <v>144.31</v>
      </c>
      <c r="E31" s="104"/>
      <c r="F31" s="101">
        <f t="shared" si="0"/>
        <v>144.31</v>
      </c>
      <c r="G31" s="36"/>
      <c r="H31" s="36">
        <f t="shared" si="1"/>
        <v>3.6617609743719868</v>
      </c>
      <c r="I31" s="101">
        <f>IF($F$6=0,"-",SUM($H$27:H31))</f>
        <v>21.9908652626237</v>
      </c>
      <c r="J31" s="33">
        <f t="shared" si="5"/>
        <v>78.0091347373763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7" t="s">
        <v>58</v>
      </c>
      <c r="C32" s="280">
        <v>9.5</v>
      </c>
      <c r="D32" s="103">
        <v>423.56</v>
      </c>
      <c r="E32" s="104"/>
      <c r="F32" s="101">
        <f t="shared" si="0"/>
        <v>417.55999999999955</v>
      </c>
      <c r="G32" s="36"/>
      <c r="H32" s="36">
        <f t="shared" si="1"/>
        <v>10.5952803856889</v>
      </c>
      <c r="I32" s="101">
        <f>IF($F$6=0,"-",SUM($H$27:H32))</f>
        <v>32.5861456483126</v>
      </c>
      <c r="J32" s="33">
        <f t="shared" si="5"/>
        <v>67.4138543516874</v>
      </c>
      <c r="K32" s="42"/>
      <c r="L32" s="126">
        <f t="shared" si="2"/>
        <v>5.029721294929914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7" t="s">
        <v>59</v>
      </c>
      <c r="C33" s="280">
        <v>4.75</v>
      </c>
      <c r="D33" s="103">
        <v>318.47</v>
      </c>
      <c r="E33" s="104"/>
      <c r="F33" s="101">
        <f t="shared" si="0"/>
        <v>318.47</v>
      </c>
      <c r="G33" s="36"/>
      <c r="H33" s="36">
        <f t="shared" si="1"/>
        <v>8.080943922862218</v>
      </c>
      <c r="I33" s="101">
        <f>IF($F$6=0,"-",SUM($H$27:H33))</f>
        <v>40.66708957117482</v>
      </c>
      <c r="J33" s="33">
        <f t="shared" si="5"/>
        <v>59.33291042882519</v>
      </c>
      <c r="K33" s="42"/>
      <c r="L33" s="126">
        <f t="shared" si="2"/>
        <v>0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7" t="s">
        <v>60</v>
      </c>
      <c r="C34" s="280">
        <v>2</v>
      </c>
      <c r="D34" s="103">
        <v>309</v>
      </c>
      <c r="E34" s="104"/>
      <c r="F34" s="101">
        <f t="shared" si="0"/>
        <v>309</v>
      </c>
      <c r="G34" s="36"/>
      <c r="H34" s="36">
        <f t="shared" si="1"/>
        <v>7.840649581324537</v>
      </c>
      <c r="I34" s="101">
        <f>IF($F$6=0,"-",SUM($H$27:H34))</f>
        <v>48.507739152499354</v>
      </c>
      <c r="J34" s="33">
        <f t="shared" si="5"/>
        <v>51.49226084750065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7" t="s">
        <v>61</v>
      </c>
      <c r="C35" s="280">
        <v>0.85</v>
      </c>
      <c r="D35" s="103">
        <v>184.53</v>
      </c>
      <c r="E35" s="104"/>
      <c r="F35" s="101">
        <f t="shared" si="0"/>
        <v>184.53</v>
      </c>
      <c r="G35" s="36"/>
      <c r="H35" s="36">
        <f t="shared" si="1"/>
        <v>4.682314133468663</v>
      </c>
      <c r="I35" s="101">
        <f>IF($F$6=0,"-",SUM($H$27:H35))</f>
        <v>53.19005328596802</v>
      </c>
      <c r="J35" s="33">
        <f t="shared" si="5"/>
        <v>46.80994671403199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7" t="s">
        <v>62</v>
      </c>
      <c r="C36" s="280">
        <v>0.425</v>
      </c>
      <c r="D36" s="103">
        <v>115.45</v>
      </c>
      <c r="E36" s="104"/>
      <c r="F36" s="101">
        <f t="shared" si="0"/>
        <v>115.45</v>
      </c>
      <c r="G36" s="36"/>
      <c r="H36" s="36">
        <f t="shared" si="1"/>
        <v>2.929459528038569</v>
      </c>
      <c r="I36" s="101">
        <f>IF($F$6=0,"-",SUM($H$27:H36))</f>
        <v>56.11951281400659</v>
      </c>
      <c r="J36" s="33">
        <f t="shared" si="5"/>
        <v>43.88048718599342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7" t="s">
        <v>63</v>
      </c>
      <c r="C37" s="280">
        <v>0.25</v>
      </c>
      <c r="D37" s="103">
        <v>91.51</v>
      </c>
      <c r="E37" s="104"/>
      <c r="F37" s="101">
        <f t="shared" si="0"/>
        <v>91.51</v>
      </c>
      <c r="G37" s="36"/>
      <c r="H37" s="36">
        <f t="shared" si="1"/>
        <v>2.3219994925145904</v>
      </c>
      <c r="I37" s="101">
        <f>IF($F$6=0,"-",SUM($H$27:H37))</f>
        <v>58.44151230652118</v>
      </c>
      <c r="J37" s="33">
        <f t="shared" si="5"/>
        <v>41.558487693478824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7" t="s">
        <v>64</v>
      </c>
      <c r="C38" s="280">
        <v>0.15</v>
      </c>
      <c r="D38" s="103">
        <v>126.56</v>
      </c>
      <c r="E38" s="104"/>
      <c r="F38" s="101">
        <f t="shared" si="0"/>
        <v>126.56</v>
      </c>
      <c r="G38" s="36"/>
      <c r="H38" s="36">
        <f t="shared" si="1"/>
        <v>3.2113676731793963</v>
      </c>
      <c r="I38" s="101">
        <f>IF($F$6=0,"-",SUM($H$27:H38))</f>
        <v>61.65287997970058</v>
      </c>
      <c r="J38" s="33">
        <f t="shared" si="5"/>
        <v>38.34712002029943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7" t="s">
        <v>65</v>
      </c>
      <c r="C39" s="280">
        <v>0.075</v>
      </c>
      <c r="D39" s="103">
        <v>188.84</v>
      </c>
      <c r="E39" s="104"/>
      <c r="F39" s="101">
        <f t="shared" si="0"/>
        <v>188.84</v>
      </c>
      <c r="G39" s="36"/>
      <c r="H39" s="36">
        <f t="shared" si="1"/>
        <v>4.7916772392793705</v>
      </c>
      <c r="I39" s="101">
        <f>IF($F$6=0,"-",SUM($H$27:H39))</f>
        <v>66.44455721897995</v>
      </c>
      <c r="J39" s="33">
        <f t="shared" si="5"/>
        <v>33.555442781020055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0.04484312386763096</v>
      </c>
      <c r="N39" s="131">
        <f>IF(AND(J39&gt;=10,J40&lt;=10),10^(LOG10(C38)-(J38-10)*(LOG10(C38)-LOG10(C39))/(J38-J39)),0)</f>
        <v>0.0024844233699675717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16.42</v>
      </c>
      <c r="E40" s="38"/>
      <c r="F40" s="106">
        <f>IF($F$6=0,"-",F20)</f>
        <v>1322.42</v>
      </c>
      <c r="G40" s="58"/>
      <c r="H40" s="36">
        <f t="shared" si="1"/>
        <v>33.55544278102005</v>
      </c>
      <c r="I40" s="101">
        <f>IF($F$6=0,"-",SUM($H$27:H40))</f>
        <v>100</v>
      </c>
      <c r="J40" s="33">
        <f t="shared" si="5"/>
        <v>7.105427357601002E-15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2641.0000000000005</v>
      </c>
      <c r="E41" s="108"/>
      <c r="F41" s="109">
        <f>IF($F$6=0,"-",SUM(F27:F40))</f>
        <v>3941</v>
      </c>
      <c r="G41" s="107"/>
      <c r="H41" s="23">
        <f>IF($F$6=0,"-",SUM(H27:H40))</f>
        <v>100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1">
        <f aca="true" t="shared" si="6" ref="O43:O55">IF(J27="-",0.0001,C27)</f>
        <v>75</v>
      </c>
      <c r="P43" s="282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3">
        <f t="shared" si="6"/>
        <v>50</v>
      </c>
      <c r="P44" s="284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3">
        <f t="shared" si="6"/>
        <v>37.5</v>
      </c>
      <c r="P45" s="284">
        <f t="shared" si="7"/>
        <v>91.97107333164172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3">
        <f t="shared" si="6"/>
        <v>25</v>
      </c>
      <c r="P46" s="284">
        <f t="shared" si="7"/>
        <v>81.67089571174829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3">
        <f t="shared" si="6"/>
        <v>19</v>
      </c>
      <c r="P47" s="284">
        <f t="shared" si="7"/>
        <v>78.0091347373763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3">
        <f t="shared" si="6"/>
        <v>9.5</v>
      </c>
      <c r="P48" s="284">
        <f t="shared" si="7"/>
        <v>67.4138543516874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3">
        <f t="shared" si="6"/>
        <v>4.75</v>
      </c>
      <c r="P49" s="284">
        <f t="shared" si="7"/>
        <v>59.33291042882519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3">
        <f t="shared" si="6"/>
        <v>2</v>
      </c>
      <c r="P50" s="284">
        <f t="shared" si="7"/>
        <v>51.49226084750065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3">
        <f t="shared" si="6"/>
        <v>0.85</v>
      </c>
      <c r="P51" s="284">
        <f t="shared" si="7"/>
        <v>46.80994671403199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3">
        <f t="shared" si="6"/>
        <v>0.425</v>
      </c>
      <c r="P52" s="284">
        <f t="shared" si="7"/>
        <v>43.88048718599342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3">
        <f t="shared" si="6"/>
        <v>0.25</v>
      </c>
      <c r="P53" s="284">
        <f t="shared" si="7"/>
        <v>41.558487693478824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3">
        <f t="shared" si="6"/>
        <v>0.15</v>
      </c>
      <c r="P54" s="284">
        <f t="shared" si="7"/>
        <v>38.34712002029943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5">
        <f t="shared" si="6"/>
        <v>0.075</v>
      </c>
      <c r="P55" s="286">
        <f t="shared" si="7"/>
        <v>33.555442781020055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G31" sqref="G31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1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9"/>
      <c r="E1" s="44"/>
      <c r="F1" s="44"/>
      <c r="G1" s="44" t="s">
        <v>17</v>
      </c>
    </row>
    <row r="2" spans="1:7" ht="15.75">
      <c r="A2" s="41" t="s">
        <v>129</v>
      </c>
      <c r="B2" s="14"/>
      <c r="C2" s="80"/>
      <c r="D2" s="340"/>
      <c r="E2" s="80"/>
      <c r="F2" s="80"/>
      <c r="G2" s="44"/>
    </row>
    <row r="3" spans="1:7" ht="15.75">
      <c r="A3" s="41" t="s">
        <v>130</v>
      </c>
      <c r="G3" s="44" t="s">
        <v>131</v>
      </c>
    </row>
    <row r="4" ht="13.5" thickBot="1"/>
    <row r="5" spans="1:6" ht="13.5" thickBot="1">
      <c r="A5" s="72" t="s">
        <v>132</v>
      </c>
      <c r="B5" s="50"/>
      <c r="C5" s="49"/>
      <c r="D5" s="342"/>
      <c r="E5" s="338">
        <v>1</v>
      </c>
      <c r="F5" s="338">
        <v>2</v>
      </c>
    </row>
    <row r="6" ht="13.5" thickBot="1"/>
    <row r="7" spans="1:6" ht="13.5" thickBot="1">
      <c r="A7" s="72" t="s">
        <v>20</v>
      </c>
      <c r="B7" s="50"/>
      <c r="C7" s="49"/>
      <c r="D7" s="352"/>
      <c r="E7" s="337"/>
      <c r="F7" s="337"/>
    </row>
    <row r="8" spans="1:6" ht="12.75">
      <c r="A8" s="349">
        <v>1</v>
      </c>
      <c r="B8" s="444" t="s">
        <v>21</v>
      </c>
      <c r="C8" s="445"/>
      <c r="D8" s="350"/>
      <c r="E8" s="351">
        <v>201</v>
      </c>
      <c r="F8" s="351">
        <v>223</v>
      </c>
    </row>
    <row r="9" spans="1:6" ht="12.75">
      <c r="A9" s="343">
        <v>2</v>
      </c>
      <c r="B9" s="446" t="s">
        <v>22</v>
      </c>
      <c r="C9" s="447"/>
      <c r="D9" s="344" t="s">
        <v>23</v>
      </c>
      <c r="E9" s="200">
        <v>166.08</v>
      </c>
      <c r="F9" s="200">
        <v>175.37</v>
      </c>
    </row>
    <row r="10" spans="1:6" ht="12.75">
      <c r="A10" s="343">
        <v>3</v>
      </c>
      <c r="B10" s="446" t="s">
        <v>24</v>
      </c>
      <c r="C10" s="447"/>
      <c r="D10" s="344" t="s">
        <v>23</v>
      </c>
      <c r="E10" s="200">
        <v>662.32</v>
      </c>
      <c r="F10" s="200">
        <v>817.66</v>
      </c>
    </row>
    <row r="11" spans="1:6" ht="12.75">
      <c r="A11" s="343">
        <v>4</v>
      </c>
      <c r="B11" s="448" t="s">
        <v>25</v>
      </c>
      <c r="C11" s="449"/>
      <c r="D11" s="344" t="s">
        <v>23</v>
      </c>
      <c r="E11" s="200">
        <v>615.86</v>
      </c>
      <c r="F11" s="200">
        <v>761.81</v>
      </c>
    </row>
    <row r="12" spans="1:6" ht="12.75">
      <c r="A12" s="343">
        <v>5</v>
      </c>
      <c r="B12" s="446" t="s">
        <v>26</v>
      </c>
      <c r="C12" s="447"/>
      <c r="D12" s="344" t="s">
        <v>23</v>
      </c>
      <c r="E12" s="356">
        <f>IF(E8=0,"-",E10-E11)</f>
        <v>46.460000000000036</v>
      </c>
      <c r="F12" s="356">
        <f>IF(F8=0,"-",F10-F11)</f>
        <v>55.85000000000002</v>
      </c>
    </row>
    <row r="13" spans="1:6" ht="12.75">
      <c r="A13" s="343">
        <v>6</v>
      </c>
      <c r="B13" s="446" t="s">
        <v>27</v>
      </c>
      <c r="C13" s="447"/>
      <c r="D13" s="344" t="s">
        <v>23</v>
      </c>
      <c r="E13" s="356">
        <f>IF(E8=0,"-",E11-E9)</f>
        <v>449.78</v>
      </c>
      <c r="F13" s="356">
        <f>IF(F8=0,"-",F11-F9)</f>
        <v>586.4399999999999</v>
      </c>
    </row>
    <row r="14" spans="1:6" ht="13.5" thickBot="1">
      <c r="A14" s="345">
        <v>7</v>
      </c>
      <c r="B14" s="453" t="s">
        <v>28</v>
      </c>
      <c r="C14" s="454"/>
      <c r="D14" s="346" t="s">
        <v>29</v>
      </c>
      <c r="E14" s="357">
        <f>IF(E8=0,"-",100*E12/E13)</f>
        <v>10.329494419493983</v>
      </c>
      <c r="F14" s="357">
        <f>IF(F8=0,"-",100*F12/F13)</f>
        <v>9.523565923197603</v>
      </c>
    </row>
    <row r="15" spans="1:6" ht="13.5" thickBot="1">
      <c r="A15" s="347">
        <v>8</v>
      </c>
      <c r="B15" s="458" t="s">
        <v>133</v>
      </c>
      <c r="C15" s="459"/>
      <c r="D15" s="348" t="s">
        <v>29</v>
      </c>
      <c r="E15" s="450">
        <f>+SUM(E14:F14)/2</f>
        <v>9.926530171345792</v>
      </c>
      <c r="F15" s="451"/>
    </row>
    <row r="16" ht="13.5" thickBot="1"/>
    <row r="17" spans="1:7" ht="13.5" thickBot="1">
      <c r="A17" s="72" t="s">
        <v>134</v>
      </c>
      <c r="B17" s="50"/>
      <c r="C17" s="49"/>
      <c r="D17" s="342"/>
      <c r="E17" s="337"/>
      <c r="F17" s="337"/>
      <c r="G17" s="337"/>
    </row>
    <row r="18" spans="1:7" ht="13.5" thickBot="1">
      <c r="A18" s="379">
        <v>1</v>
      </c>
      <c r="B18" s="456" t="s">
        <v>136</v>
      </c>
      <c r="C18" s="457"/>
      <c r="D18" s="380" t="s">
        <v>110</v>
      </c>
      <c r="E18" s="431"/>
      <c r="F18" s="432"/>
      <c r="G18" s="433">
        <v>0.87</v>
      </c>
    </row>
    <row r="19" spans="1:7" ht="13.5" thickBot="1">
      <c r="A19" s="349">
        <v>2</v>
      </c>
      <c r="B19" s="452" t="s">
        <v>137</v>
      </c>
      <c r="C19" s="445"/>
      <c r="D19" s="350"/>
      <c r="E19" s="434"/>
      <c r="F19" s="435"/>
      <c r="G19" s="436">
        <v>1.0015337</v>
      </c>
    </row>
    <row r="20" spans="1:7" ht="12.75">
      <c r="A20" s="349">
        <v>3</v>
      </c>
      <c r="B20" s="452" t="s">
        <v>138</v>
      </c>
      <c r="C20" s="445"/>
      <c r="D20" s="353" t="s">
        <v>23</v>
      </c>
      <c r="E20" s="437">
        <v>1163.68</v>
      </c>
      <c r="F20" s="437">
        <v>1109.14</v>
      </c>
      <c r="G20" s="437">
        <v>1101.85</v>
      </c>
    </row>
    <row r="21" spans="1:7" ht="12.75">
      <c r="A21" s="349">
        <v>4</v>
      </c>
      <c r="B21" s="448" t="s">
        <v>139</v>
      </c>
      <c r="C21" s="447"/>
      <c r="D21" s="353" t="s">
        <v>23</v>
      </c>
      <c r="E21" s="438">
        <v>1220.32</v>
      </c>
      <c r="F21" s="438">
        <v>1177.86</v>
      </c>
      <c r="G21" s="438">
        <v>1167.03</v>
      </c>
    </row>
    <row r="22" spans="1:7" ht="12.75">
      <c r="A22" s="349">
        <v>5</v>
      </c>
      <c r="B22" s="448" t="s">
        <v>141</v>
      </c>
      <c r="C22" s="447"/>
      <c r="D22" s="353" t="s">
        <v>92</v>
      </c>
      <c r="E22" s="438">
        <v>598</v>
      </c>
      <c r="F22" s="438">
        <v>590</v>
      </c>
      <c r="G22" s="438">
        <v>580</v>
      </c>
    </row>
    <row r="23" spans="1:7" ht="12.75">
      <c r="A23" s="349">
        <v>6</v>
      </c>
      <c r="B23" s="448" t="s">
        <v>140</v>
      </c>
      <c r="C23" s="449"/>
      <c r="D23" s="353" t="s">
        <v>23</v>
      </c>
      <c r="E23" s="355">
        <f>+IF($E$20=0,"-",E21-E20)</f>
        <v>56.63999999999987</v>
      </c>
      <c r="F23" s="355">
        <f>+IF($E$20=0,"-",F21-F20)</f>
        <v>68.7199999999998</v>
      </c>
      <c r="G23" s="355">
        <f>+IF($E$20=0,"-",G21-G20)</f>
        <v>65.18000000000006</v>
      </c>
    </row>
    <row r="24" spans="1:7" ht="12.75">
      <c r="A24" s="349">
        <v>7</v>
      </c>
      <c r="B24" s="448" t="s">
        <v>142</v>
      </c>
      <c r="C24" s="447"/>
      <c r="D24" s="353" t="s">
        <v>92</v>
      </c>
      <c r="E24" s="355">
        <f>+IF($E$20=0,"-",E22-$G$19)</f>
        <v>596.9984663</v>
      </c>
      <c r="F24" s="355">
        <f>+IF($E$20=0,"-",F22-$G$19)</f>
        <v>588.9984663</v>
      </c>
      <c r="G24" s="355">
        <f>+IF($E$20=0,"-",G22-$G$19)</f>
        <v>578.9984663</v>
      </c>
    </row>
    <row r="25" spans="1:7" ht="12.75">
      <c r="A25" s="349">
        <v>8</v>
      </c>
      <c r="B25" s="448" t="s">
        <v>143</v>
      </c>
      <c r="C25" s="447"/>
      <c r="D25" s="353" t="s">
        <v>92</v>
      </c>
      <c r="E25" s="355">
        <f>+IF($E$20=0,"-",E23/$G$18)</f>
        <v>65.10344827586192</v>
      </c>
      <c r="F25" s="355">
        <f>+IF($E$20=0,"-",F23/$G$18)</f>
        <v>78.98850574712621</v>
      </c>
      <c r="G25" s="355">
        <f>+IF($E$20=0,"-",G23/$G$18)</f>
        <v>74.91954022988513</v>
      </c>
    </row>
    <row r="26" spans="1:7" ht="12.75">
      <c r="A26" s="345">
        <v>9</v>
      </c>
      <c r="B26" s="455" t="s">
        <v>144</v>
      </c>
      <c r="C26" s="454"/>
      <c r="D26" s="354" t="s">
        <v>92</v>
      </c>
      <c r="E26" s="355">
        <f>+IF($E$20=0,"-",E24-E23)</f>
        <v>540.3584663000001</v>
      </c>
      <c r="F26" s="355">
        <f>+IF($E$20=0,"-",F24-F23)</f>
        <v>520.2784663000002</v>
      </c>
      <c r="G26" s="355">
        <f>+IF($E$20=0,"-",G24-G23)</f>
        <v>513.8184663</v>
      </c>
    </row>
    <row r="27" spans="1:7" ht="13.5" thickBot="1">
      <c r="A27" s="381">
        <v>10</v>
      </c>
      <c r="B27" s="460" t="s">
        <v>145</v>
      </c>
      <c r="C27" s="461"/>
      <c r="D27" s="383" t="s">
        <v>110</v>
      </c>
      <c r="E27" s="358">
        <f>+IF($E$20=0,"-",E20/E26)</f>
        <v>2.1535333904696143</v>
      </c>
      <c r="F27" s="358">
        <f>+IF($E$20=0,"-",F20/F26)</f>
        <v>2.1318199230649184</v>
      </c>
      <c r="G27" s="358">
        <f>+IF($E$20=0,"-",G20/G26)</f>
        <v>2.1444344107256543</v>
      </c>
    </row>
    <row r="28" spans="5:7" ht="13.5" thickBot="1">
      <c r="E28" s="439"/>
      <c r="F28" s="440"/>
      <c r="G28" s="441">
        <f>+AVERAGE(E27:G27)</f>
        <v>2.1432625747533955</v>
      </c>
    </row>
    <row r="29" spans="1:5" ht="13.5" thickBot="1">
      <c r="A29" s="72" t="s">
        <v>135</v>
      </c>
      <c r="B29" s="50"/>
      <c r="C29" s="49"/>
      <c r="D29" s="342"/>
      <c r="E29" s="337"/>
    </row>
    <row r="30" spans="1:5" ht="12.75">
      <c r="A30" s="379">
        <v>1</v>
      </c>
      <c r="B30" s="456" t="s">
        <v>146</v>
      </c>
      <c r="C30" s="457"/>
      <c r="D30" s="380"/>
      <c r="E30" s="202">
        <v>2</v>
      </c>
    </row>
    <row r="31" spans="1:5" ht="12.75">
      <c r="A31" s="343">
        <v>2</v>
      </c>
      <c r="B31" s="448" t="s">
        <v>147</v>
      </c>
      <c r="C31" s="447"/>
      <c r="D31" s="344" t="s">
        <v>23</v>
      </c>
      <c r="E31" s="200">
        <v>344.67</v>
      </c>
    </row>
    <row r="32" spans="1:5" ht="12.75">
      <c r="A32" s="343">
        <v>3</v>
      </c>
      <c r="B32" s="448" t="s">
        <v>148</v>
      </c>
      <c r="C32" s="447"/>
      <c r="D32" s="344" t="s">
        <v>23</v>
      </c>
      <c r="E32" s="200">
        <v>388.6</v>
      </c>
    </row>
    <row r="33" spans="1:5" ht="12.75">
      <c r="A33" s="343">
        <v>4</v>
      </c>
      <c r="B33" s="448" t="s">
        <v>75</v>
      </c>
      <c r="C33" s="449"/>
      <c r="D33" s="344"/>
      <c r="E33" s="198">
        <v>16</v>
      </c>
    </row>
    <row r="34" spans="1:5" ht="12.75">
      <c r="A34" s="343">
        <v>5</v>
      </c>
      <c r="B34" s="448" t="s">
        <v>22</v>
      </c>
      <c r="C34" s="447"/>
      <c r="D34" s="344" t="s">
        <v>23</v>
      </c>
      <c r="E34" s="200">
        <v>184.54</v>
      </c>
    </row>
    <row r="35" spans="1:5" ht="12.75">
      <c r="A35" s="343">
        <v>6</v>
      </c>
      <c r="B35" s="448" t="s">
        <v>25</v>
      </c>
      <c r="C35" s="447"/>
      <c r="D35" s="344" t="s">
        <v>23</v>
      </c>
      <c r="E35" s="200">
        <v>256.6</v>
      </c>
    </row>
    <row r="36" spans="1:5" ht="12.75">
      <c r="A36" s="345">
        <v>7</v>
      </c>
      <c r="B36" s="448" t="s">
        <v>149</v>
      </c>
      <c r="C36" s="447"/>
      <c r="D36" s="344" t="s">
        <v>23</v>
      </c>
      <c r="E36" s="359">
        <f>+E35-E34</f>
        <v>72.06000000000003</v>
      </c>
    </row>
    <row r="37" spans="1:5" ht="13.5" thickBot="1">
      <c r="A37" s="381">
        <v>8</v>
      </c>
      <c r="B37" s="462" t="s">
        <v>150</v>
      </c>
      <c r="C37" s="461"/>
      <c r="D37" s="382"/>
      <c r="E37" s="102">
        <f>+E36/(E31-E32+E36)</f>
        <v>2.5616779239246346</v>
      </c>
    </row>
  </sheetData>
  <sheetProtection/>
  <mergeCells count="27">
    <mergeCell ref="B31:C31"/>
    <mergeCell ref="B32:C32"/>
    <mergeCell ref="B33:C33"/>
    <mergeCell ref="B34:C34"/>
    <mergeCell ref="B35:C35"/>
    <mergeCell ref="B37:C37"/>
    <mergeCell ref="B36:C36"/>
    <mergeCell ref="B24:C24"/>
    <mergeCell ref="B25:C25"/>
    <mergeCell ref="B26:C26"/>
    <mergeCell ref="B30:C30"/>
    <mergeCell ref="B15:C15"/>
    <mergeCell ref="B18:C18"/>
    <mergeCell ref="B19:C19"/>
    <mergeCell ref="B27:C27"/>
    <mergeCell ref="E15:F15"/>
    <mergeCell ref="B20:C20"/>
    <mergeCell ref="B21:C21"/>
    <mergeCell ref="B22:C22"/>
    <mergeCell ref="B23:C23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2">
      <selection activeCell="G43" sqref="G43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C1-M1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13</v>
      </c>
      <c r="E8" s="195">
        <v>17</v>
      </c>
      <c r="F8" s="196">
        <v>18</v>
      </c>
      <c r="G8" s="195">
        <v>26</v>
      </c>
    </row>
    <row r="9" spans="1:7" s="10" customFormat="1" ht="12.75" customHeight="1">
      <c r="A9" s="90">
        <v>2</v>
      </c>
      <c r="B9" s="5" t="s">
        <v>76</v>
      </c>
      <c r="C9" s="68"/>
      <c r="D9" s="197">
        <v>43</v>
      </c>
      <c r="E9" s="198">
        <v>11</v>
      </c>
      <c r="F9" s="199">
        <v>23</v>
      </c>
      <c r="G9" s="198">
        <v>16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20.44</v>
      </c>
      <c r="E10" s="200">
        <v>20.57</v>
      </c>
      <c r="F10" s="55">
        <v>20.81</v>
      </c>
      <c r="G10" s="200">
        <v>20.93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44.31</v>
      </c>
      <c r="E11" s="200">
        <v>45.93</v>
      </c>
      <c r="F11" s="55">
        <v>43.89</v>
      </c>
      <c r="G11" s="200">
        <v>50.63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40.11</v>
      </c>
      <c r="E12" s="200">
        <v>40.57</v>
      </c>
      <c r="F12" s="55">
        <v>39.49</v>
      </c>
      <c r="G12" s="200">
        <v>44.67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4.200000000000003</v>
      </c>
      <c r="E13" s="165">
        <f>+E11-E12</f>
        <v>5.359999999999999</v>
      </c>
      <c r="F13" s="165">
        <f>+F11-F12</f>
        <v>4.399999999999999</v>
      </c>
      <c r="G13" s="165">
        <f>+G11-G12</f>
        <v>5.960000000000001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19.669999999999998</v>
      </c>
      <c r="E14" s="166">
        <f>+E12-E10</f>
        <v>20</v>
      </c>
      <c r="F14" s="166">
        <f>+F12-F10</f>
        <v>18.680000000000003</v>
      </c>
      <c r="G14" s="166">
        <f>+G12-G10</f>
        <v>23.740000000000002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21.352313167259805</v>
      </c>
      <c r="E15" s="57">
        <f>+(E13/E14)*100</f>
        <v>26.799999999999997</v>
      </c>
      <c r="F15" s="57">
        <f>+(F13/F14)*100</f>
        <v>23.55460385438971</v>
      </c>
      <c r="G15" s="57">
        <f>+(G13/G14)*100</f>
        <v>25.105307497893854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23.4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4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5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6">
        <v>23.4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3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2">
        <v>27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18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30">
        <v>0</v>
      </c>
      <c r="L26" s="328">
        <f>+L22</f>
        <v>23.4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1">
        <v>25</v>
      </c>
      <c r="L27" s="329">
        <f>+L22</f>
        <v>23.4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0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1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1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2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2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8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299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7">
        <f>IF(OR(D9=0,$G$16="NP"),1,D9)</f>
        <v>43</v>
      </c>
      <c r="M35" s="282">
        <f>IF($G$16="NP",1,D15)</f>
        <v>21.352313167259805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4</v>
      </c>
      <c r="E36" s="202">
        <v>8</v>
      </c>
      <c r="F36" s="53">
        <v>10</v>
      </c>
      <c r="G36" s="202">
        <v>23</v>
      </c>
      <c r="I36" s="172">
        <f>60/0.73+20</f>
        <v>102.19178082191782</v>
      </c>
      <c r="J36" s="173">
        <v>60</v>
      </c>
      <c r="L36" s="288">
        <f>IF(OR(E9=0,$G$16="NP"),1,E9)</f>
        <v>11</v>
      </c>
      <c r="M36" s="284">
        <f>IF($G$16="NP",1,E15)</f>
        <v>26.799999999999997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20.47</v>
      </c>
      <c r="E37" s="200">
        <v>20.75</v>
      </c>
      <c r="F37" s="55">
        <v>21.03</v>
      </c>
      <c r="G37" s="200">
        <v>20.4</v>
      </c>
      <c r="I37" s="170">
        <v>16</v>
      </c>
      <c r="J37" s="171">
        <v>7</v>
      </c>
      <c r="L37" s="288">
        <f>IF(OR(F9=0,$G$16="NP"),1,F9)</f>
        <v>23</v>
      </c>
      <c r="M37" s="284">
        <f>IF($G$16="NP",1,F15)</f>
        <v>23.55460385438971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23.52</v>
      </c>
      <c r="E38" s="200">
        <v>24.38</v>
      </c>
      <c r="F38" s="55">
        <v>24.2</v>
      </c>
      <c r="G38" s="200">
        <v>22.9</v>
      </c>
      <c r="I38" s="172">
        <f>60/0.9+8</f>
        <v>74.66666666666667</v>
      </c>
      <c r="J38" s="173">
        <v>60</v>
      </c>
      <c r="L38" s="289">
        <f>IF(OR(G9=0,$G$16="NP"),1,G9)</f>
        <v>16</v>
      </c>
      <c r="M38" s="286">
        <f>IF($G$16="NP",1,G15)</f>
        <v>25.105307497893854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23.13</v>
      </c>
      <c r="E39" s="200">
        <v>23.93</v>
      </c>
      <c r="F39" s="55">
        <v>23.83</v>
      </c>
      <c r="G39" s="200">
        <v>22.6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0.39000000000000057</v>
      </c>
      <c r="E40" s="56">
        <f>+E38-E39</f>
        <v>0.4499999999999993</v>
      </c>
      <c r="F40" s="56">
        <f>+F38-F39</f>
        <v>0.370000000000001</v>
      </c>
      <c r="G40" s="56">
        <f>+G38-G39</f>
        <v>0.29999999999999716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2.66</v>
      </c>
      <c r="E41" s="56">
        <f>+E39-E37</f>
        <v>3.1799999999999997</v>
      </c>
      <c r="F41" s="56">
        <f>+F39-F37</f>
        <v>2.799999999999997</v>
      </c>
      <c r="G41" s="56">
        <f>+G39-G37</f>
        <v>2.200000000000003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14.661654135338367</v>
      </c>
      <c r="E42" s="57">
        <f>+(E40/E41)*100</f>
        <v>14.150943396226396</v>
      </c>
      <c r="F42" s="57">
        <f>+(F40/F41)*100</f>
        <v>13.214285714285765</v>
      </c>
      <c r="G42" s="57">
        <f>+(G40/G41)*100</f>
        <v>13.636363636363487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13.915811720553503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18</v>
      </c>
      <c r="J47" s="177">
        <f>IF(OR(L25="NP",G43="NP"),"NP",L25-G43)</f>
        <v>4.084188279446497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5" zoomScaleNormal="115" zoomScalePageLayoutView="0" workbookViewId="0" topLeftCell="A19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5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5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5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5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6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7"/>
      <c r="F9" s="231"/>
      <c r="G9" s="224"/>
      <c r="H9" s="224"/>
      <c r="I9" s="224"/>
      <c r="J9" s="224"/>
      <c r="K9" s="224"/>
    </row>
    <row r="10" spans="1:11" ht="12.75" customHeight="1">
      <c r="A10" s="292" t="s">
        <v>8</v>
      </c>
      <c r="B10" s="290"/>
      <c r="C10" s="290"/>
      <c r="D10" s="268" t="s">
        <v>98</v>
      </c>
      <c r="E10" s="375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2" t="s">
        <v>9</v>
      </c>
      <c r="B11" s="290"/>
      <c r="C11" s="290"/>
      <c r="D11" s="268" t="s">
        <v>98</v>
      </c>
      <c r="E11" s="375" t="str">
        <f>DATOS!C11</f>
        <v>C1</v>
      </c>
      <c r="F11" s="215"/>
      <c r="G11" s="224"/>
      <c r="H11" s="224"/>
      <c r="I11" s="224"/>
      <c r="J11" s="224"/>
      <c r="K11" s="224"/>
    </row>
    <row r="12" spans="1:11" ht="12.75" customHeight="1">
      <c r="A12" s="292" t="s">
        <v>10</v>
      </c>
      <c r="B12" s="290"/>
      <c r="C12" s="290"/>
      <c r="D12" s="268" t="s">
        <v>98</v>
      </c>
      <c r="E12" s="375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8"/>
      <c r="F13" s="40"/>
      <c r="G13" s="224"/>
      <c r="H13" s="224"/>
      <c r="I13" s="224"/>
      <c r="J13" s="224"/>
      <c r="K13" s="224"/>
    </row>
    <row r="14" spans="1:11" ht="12.75" customHeight="1">
      <c r="A14" s="292" t="s">
        <v>11</v>
      </c>
      <c r="B14" s="290"/>
      <c r="C14" s="290"/>
      <c r="D14" s="293" t="s">
        <v>12</v>
      </c>
      <c r="E14" s="375">
        <f>DATOS!C13</f>
        <v>2.1</v>
      </c>
      <c r="F14" s="215"/>
      <c r="G14" s="224"/>
      <c r="H14" s="224"/>
      <c r="I14" s="224"/>
      <c r="J14" s="224"/>
      <c r="K14" s="224"/>
    </row>
    <row r="15" spans="1:11" ht="12.75" customHeight="1">
      <c r="A15" s="292" t="s">
        <v>13</v>
      </c>
      <c r="B15" s="290"/>
      <c r="C15" s="290"/>
      <c r="D15" s="293" t="s">
        <v>12</v>
      </c>
      <c r="E15" s="375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1">
        <v>75</v>
      </c>
      <c r="D17" s="272" t="s">
        <v>53</v>
      </c>
      <c r="E17" s="370">
        <f>GRANULOM!J27</f>
        <v>100</v>
      </c>
      <c r="F17" s="371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3">
        <v>50</v>
      </c>
      <c r="D18" s="274" t="s">
        <v>54</v>
      </c>
      <c r="E18" s="372">
        <f>GRANULOM!J28</f>
        <v>100</v>
      </c>
      <c r="F18" s="373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3">
        <v>37.5</v>
      </c>
      <c r="D19" s="274" t="s">
        <v>55</v>
      </c>
      <c r="E19" s="372">
        <f>GRANULOM!J29</f>
        <v>91.97107333164172</v>
      </c>
      <c r="F19" s="365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3">
        <v>25</v>
      </c>
      <c r="D20" s="274" t="s">
        <v>56</v>
      </c>
      <c r="E20" s="372">
        <f>GRANULOM!J30</f>
        <v>81.67089571174829</v>
      </c>
      <c r="F20" s="365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3">
        <v>19</v>
      </c>
      <c r="D21" s="274" t="s">
        <v>57</v>
      </c>
      <c r="E21" s="372">
        <f>GRANULOM!J31</f>
        <v>78.0091347373763</v>
      </c>
      <c r="F21" s="365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3">
        <v>9.5</v>
      </c>
      <c r="D22" s="274" t="s">
        <v>58</v>
      </c>
      <c r="E22" s="372">
        <f>GRANULOM!J32</f>
        <v>67.4138543516874</v>
      </c>
      <c r="F22" s="365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3">
        <v>4.75</v>
      </c>
      <c r="D23" s="274" t="s">
        <v>59</v>
      </c>
      <c r="E23" s="372">
        <f>GRANULOM!J33</f>
        <v>59.33291042882519</v>
      </c>
      <c r="F23" s="365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3">
        <v>2</v>
      </c>
      <c r="D24" s="274" t="s">
        <v>60</v>
      </c>
      <c r="E24" s="372">
        <f>GRANULOM!J34</f>
        <v>51.49226084750065</v>
      </c>
      <c r="F24" s="365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3">
        <v>0.85</v>
      </c>
      <c r="D25" s="274" t="s">
        <v>61</v>
      </c>
      <c r="E25" s="372">
        <f>GRANULOM!J35</f>
        <v>46.80994671403199</v>
      </c>
      <c r="F25" s="365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3">
        <v>0.425</v>
      </c>
      <c r="D26" s="274" t="s">
        <v>62</v>
      </c>
      <c r="E26" s="372">
        <f>GRANULOM!J36</f>
        <v>43.88048718599342</v>
      </c>
      <c r="F26" s="365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3">
        <v>0.25</v>
      </c>
      <c r="D27" s="274" t="s">
        <v>63</v>
      </c>
      <c r="E27" s="372">
        <f>GRANULOM!J37</f>
        <v>41.558487693478824</v>
      </c>
      <c r="F27" s="365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3">
        <v>0.15</v>
      </c>
      <c r="D28" s="274" t="s">
        <v>64</v>
      </c>
      <c r="E28" s="372">
        <f>GRANULOM!J38</f>
        <v>38.34712002029943</v>
      </c>
      <c r="F28" s="365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5">
        <v>0.075</v>
      </c>
      <c r="D29" s="276" t="s">
        <v>65</v>
      </c>
      <c r="E29" s="374">
        <f>GRANULOM!J39</f>
        <v>33.555442781020055</v>
      </c>
      <c r="F29" s="364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8">
        <f>GRANULOM!J18</f>
        <v>0.0024844233699675717</v>
      </c>
      <c r="E30" s="248" t="s">
        <v>104</v>
      </c>
      <c r="F30" s="366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6">
        <f>GRANULOM!J19</f>
        <v>0.04484312386763096</v>
      </c>
      <c r="E31" s="240" t="s">
        <v>106</v>
      </c>
      <c r="F31" s="367">
        <f>GRANULOM!J22</f>
        <v>0.1609245084118276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9">
        <f>GRANULOM!J20</f>
        <v>5.029721294929914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58" t="s">
        <v>108</v>
      </c>
      <c r="B34" s="259"/>
      <c r="C34" s="260"/>
      <c r="D34" s="261"/>
      <c r="E34" s="442">
        <f>+'W%, P.ESPEC, P.ESP.RELAT'!E37</f>
        <v>2.5616779239246346</v>
      </c>
      <c r="F34" s="361"/>
      <c r="G34" s="235"/>
      <c r="H34" s="235"/>
      <c r="I34" s="235"/>
      <c r="J34" s="235"/>
      <c r="K34" s="235"/>
    </row>
    <row r="35" spans="1:11" ht="12.75" customHeight="1" thickBot="1">
      <c r="A35" s="258" t="s">
        <v>109</v>
      </c>
      <c r="B35" s="259"/>
      <c r="C35" s="260"/>
      <c r="D35" s="261" t="s">
        <v>110</v>
      </c>
      <c r="E35" s="360">
        <f>+'W%, P.ESPEC, P.ESP.RELAT'!G28</f>
        <v>2.1432625747533955</v>
      </c>
      <c r="F35" s="361"/>
      <c r="G35" s="235"/>
      <c r="H35" s="235"/>
      <c r="I35" s="235"/>
      <c r="J35" s="235"/>
      <c r="K35" s="235"/>
    </row>
    <row r="36" spans="1:11" ht="12.75" customHeight="1" thickBot="1">
      <c r="A36" s="258" t="s">
        <v>111</v>
      </c>
      <c r="B36" s="259"/>
      <c r="C36" s="260"/>
      <c r="D36" s="261" t="s">
        <v>29</v>
      </c>
      <c r="E36" s="362">
        <f>GRANULOM!F12</f>
        <v>9.921339761481857</v>
      </c>
      <c r="F36" s="361"/>
      <c r="G36" s="235"/>
      <c r="H36" s="235"/>
      <c r="I36" s="235"/>
      <c r="J36" s="235"/>
      <c r="K36" s="235"/>
    </row>
    <row r="37" spans="1:11" ht="12.75" customHeight="1" thickBot="1">
      <c r="A37" s="258" t="s">
        <v>112</v>
      </c>
      <c r="B37" s="259"/>
      <c r="C37" s="260"/>
      <c r="D37" s="261" t="s">
        <v>29</v>
      </c>
      <c r="E37" s="362">
        <f>LIMITES!G16</f>
        <v>23.4</v>
      </c>
      <c r="F37" s="361"/>
      <c r="G37" s="224"/>
      <c r="H37" s="224"/>
      <c r="I37" s="224"/>
      <c r="J37" s="224"/>
      <c r="K37" s="224"/>
    </row>
    <row r="38" spans="1:11" ht="12.75" customHeight="1" thickBot="1">
      <c r="A38" s="251" t="s">
        <v>113</v>
      </c>
      <c r="B38" s="262"/>
      <c r="C38" s="263"/>
      <c r="D38" s="244" t="s">
        <v>29</v>
      </c>
      <c r="E38" s="363">
        <f>LIMITES!G43</f>
        <v>13.915811720553503</v>
      </c>
      <c r="F38" s="364"/>
      <c r="G38" s="224"/>
      <c r="H38" s="224"/>
      <c r="I38" s="224"/>
      <c r="J38" s="224"/>
      <c r="K38" s="224"/>
    </row>
    <row r="39" spans="1:11" ht="12.75" customHeight="1" thickBot="1">
      <c r="A39" s="248" t="s">
        <v>114</v>
      </c>
      <c r="B39" s="264"/>
      <c r="C39" s="265"/>
      <c r="D39" s="242" t="s">
        <v>29</v>
      </c>
      <c r="E39" s="363">
        <f>+E37-E38</f>
        <v>9.484188279446496</v>
      </c>
      <c r="F39" s="365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0"/>
      <c r="G40" s="224"/>
      <c r="H40" s="224"/>
      <c r="I40" s="224"/>
      <c r="J40" s="224"/>
      <c r="K40" s="224"/>
    </row>
    <row r="41" spans="1:11" ht="12.75" customHeight="1" thickBot="1">
      <c r="A41" s="290"/>
      <c r="B41" s="235"/>
      <c r="C41" s="235"/>
      <c r="D41" s="255"/>
      <c r="E41" s="215"/>
      <c r="F41" s="294"/>
      <c r="G41" s="224"/>
      <c r="H41" s="224"/>
      <c r="I41" s="224"/>
      <c r="J41" s="224"/>
      <c r="K41" s="224"/>
    </row>
    <row r="42" spans="1:11" ht="12.75" customHeight="1" thickBot="1">
      <c r="A42" s="291" t="s">
        <v>115</v>
      </c>
      <c r="B42" s="260"/>
      <c r="C42" s="260"/>
      <c r="D42" s="295"/>
      <c r="E42" s="296" t="s">
        <v>186</v>
      </c>
      <c r="F42" s="443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5" customFormat="1" ht="12.75" customHeight="1">
      <c r="A65" s="303" t="s">
        <v>116</v>
      </c>
      <c r="B65" s="243"/>
      <c r="C65" s="304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5" customFormat="1" ht="12.75" customHeight="1">
      <c r="A66" s="214"/>
      <c r="B66" s="243"/>
      <c r="C66" s="304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ignoredErrors>
    <ignoredError sqref="E34:E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4">
      <selection activeCell="C4" sqref="C4"/>
    </sheetView>
  </sheetViews>
  <sheetFormatPr defaultColWidth="11.421875" defaultRowHeight="12.75"/>
  <cols>
    <col min="1" max="1" width="2.7109375" style="0" customWidth="1"/>
    <col min="2" max="4" width="8.7109375" style="0" customWidth="1"/>
    <col min="5" max="5" width="5.7109375" style="0" customWidth="1"/>
    <col min="6" max="6" width="30.7109375" style="0" customWidth="1"/>
    <col min="7" max="8" width="17.7109375" style="0" customWidth="1"/>
  </cols>
  <sheetData>
    <row r="1" spans="1:10" ht="12.75">
      <c r="A1" s="384"/>
      <c r="B1" s="470" t="s">
        <v>151</v>
      </c>
      <c r="C1" s="470"/>
      <c r="D1" s="470"/>
      <c r="E1" s="470"/>
      <c r="F1" s="470"/>
      <c r="G1" s="470"/>
      <c r="H1" s="470"/>
      <c r="I1" s="384"/>
      <c r="J1" s="386"/>
    </row>
    <row r="2" spans="1:10" ht="12.75">
      <c r="A2" s="384"/>
      <c r="B2" s="385"/>
      <c r="C2" s="385"/>
      <c r="D2" s="385"/>
      <c r="E2" s="385"/>
      <c r="F2" s="385"/>
      <c r="G2" s="385"/>
      <c r="H2" s="385"/>
      <c r="I2" s="384"/>
      <c r="J2" s="386"/>
    </row>
    <row r="3" spans="1:12" ht="12.75">
      <c r="A3" s="384"/>
      <c r="B3" s="387" t="s">
        <v>152</v>
      </c>
      <c r="C3" s="388">
        <f>ROUND(RESUMEN!E29,2)</f>
        <v>33.56</v>
      </c>
      <c r="D3" s="387" t="s">
        <v>153</v>
      </c>
      <c r="E3" s="389" t="str">
        <f>+RESUMEN!F30</f>
        <v>&gt; 99</v>
      </c>
      <c r="F3" s="384"/>
      <c r="G3" s="384"/>
      <c r="H3" s="385"/>
      <c r="I3" s="384"/>
      <c r="J3" s="386"/>
      <c r="K3" s="390" t="s">
        <v>154</v>
      </c>
      <c r="L3" s="390">
        <f>+IF(N_10="NP",0,N_10)</f>
        <v>23.4</v>
      </c>
    </row>
    <row r="4" spans="1:12" ht="15.75">
      <c r="A4" s="384"/>
      <c r="B4" s="387" t="s">
        <v>155</v>
      </c>
      <c r="C4" s="388">
        <f>+RESUMEN!E23</f>
        <v>59.33291042882519</v>
      </c>
      <c r="D4" s="387" t="s">
        <v>156</v>
      </c>
      <c r="E4" s="388">
        <f>+RESUMEN!F31</f>
        <v>0.1609245084118276</v>
      </c>
      <c r="F4" s="391" t="s">
        <v>157</v>
      </c>
      <c r="G4" s="392" t="str">
        <f>+Q9</f>
        <v>GC</v>
      </c>
      <c r="H4" s="393"/>
      <c r="I4" s="384"/>
      <c r="J4" s="386"/>
      <c r="K4" s="390" t="s">
        <v>158</v>
      </c>
      <c r="L4" s="390">
        <f>+IF(C6="NP",0,C6)</f>
        <v>9.48</v>
      </c>
    </row>
    <row r="5" spans="1:12" ht="12.75">
      <c r="A5" s="384"/>
      <c r="B5" s="387" t="s">
        <v>159</v>
      </c>
      <c r="C5" s="388">
        <f>IF(RESUMEN!E37="NP","NP",ROUND(RESUMEN!E37,2))</f>
        <v>23.4</v>
      </c>
      <c r="D5" s="385"/>
      <c r="E5" s="385"/>
      <c r="F5" s="387"/>
      <c r="G5" s="385"/>
      <c r="H5" s="385"/>
      <c r="I5" s="384"/>
      <c r="J5" s="386"/>
      <c r="K5" s="394" t="s">
        <v>160</v>
      </c>
      <c r="L5" s="395" t="str">
        <f>IF(OR(E3="----",E3=""),0,E3)</f>
        <v>&gt; 99</v>
      </c>
    </row>
    <row r="6" spans="1:12" ht="12.75">
      <c r="A6" s="384"/>
      <c r="B6" s="387" t="s">
        <v>161</v>
      </c>
      <c r="C6" s="388">
        <f>IF(RESUMEN!E39="NP","NP",ROUND(RESUMEN!E39,2))</f>
        <v>9.48</v>
      </c>
      <c r="D6" s="385"/>
      <c r="E6" s="385"/>
      <c r="F6" s="387"/>
      <c r="G6" s="385"/>
      <c r="H6" s="385"/>
      <c r="I6" s="384"/>
      <c r="J6" s="386"/>
      <c r="K6" s="396" t="s">
        <v>162</v>
      </c>
      <c r="L6" s="395">
        <f>IF(OR(E4="----",E4=""),0,E4)</f>
        <v>0.1609245084118276</v>
      </c>
    </row>
    <row r="7" spans="1:10" ht="12.75">
      <c r="A7" s="384"/>
      <c r="B7" s="384"/>
      <c r="C7" s="385"/>
      <c r="D7" s="384"/>
      <c r="E7" s="384"/>
      <c r="F7" s="384"/>
      <c r="G7" s="384"/>
      <c r="H7" s="384"/>
      <c r="I7" s="384"/>
      <c r="J7" s="386"/>
    </row>
    <row r="8" spans="1:17" ht="56.25">
      <c r="A8" s="384"/>
      <c r="B8" s="471" t="s">
        <v>163</v>
      </c>
      <c r="C8" s="471"/>
      <c r="D8" s="471"/>
      <c r="E8" s="397" t="s">
        <v>164</v>
      </c>
      <c r="F8" s="398" t="s">
        <v>165</v>
      </c>
      <c r="G8" s="472" t="s">
        <v>166</v>
      </c>
      <c r="H8" s="472"/>
      <c r="I8" s="384"/>
      <c r="J8" s="386"/>
      <c r="L8" s="399" t="s">
        <v>167</v>
      </c>
      <c r="M8" s="476" t="s">
        <v>168</v>
      </c>
      <c r="N8" s="476"/>
      <c r="O8" s="400" t="s">
        <v>169</v>
      </c>
      <c r="P8" s="399" t="s">
        <v>170</v>
      </c>
      <c r="Q8" s="401" t="s">
        <v>171</v>
      </c>
    </row>
    <row r="9" spans="1:17" ht="39.75" customHeight="1">
      <c r="A9" s="384"/>
      <c r="B9" s="477" t="s">
        <v>172</v>
      </c>
      <c r="C9" s="475" t="s">
        <v>173</v>
      </c>
      <c r="D9" s="463" t="s">
        <v>174</v>
      </c>
      <c r="E9" s="402" t="s">
        <v>175</v>
      </c>
      <c r="F9" s="403" t="s">
        <v>176</v>
      </c>
      <c r="G9" s="480" t="s">
        <v>177</v>
      </c>
      <c r="H9" s="481"/>
      <c r="I9" s="384"/>
      <c r="J9" s="386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4"/>
      <c r="B10" s="477"/>
      <c r="C10" s="475"/>
      <c r="D10" s="463"/>
      <c r="E10" s="404" t="s">
        <v>178</v>
      </c>
      <c r="F10" s="405" t="s">
        <v>179</v>
      </c>
      <c r="G10" s="466" t="s">
        <v>180</v>
      </c>
      <c r="H10" s="467"/>
      <c r="I10" s="384"/>
      <c r="J10" s="386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4"/>
      <c r="B11" s="477"/>
      <c r="C11" s="475"/>
      <c r="D11" s="463" t="s">
        <v>181</v>
      </c>
      <c r="E11" s="404" t="s">
        <v>182</v>
      </c>
      <c r="F11" s="406" t="s">
        <v>183</v>
      </c>
      <c r="G11" s="407" t="s">
        <v>184</v>
      </c>
      <c r="H11" s="473" t="s">
        <v>185</v>
      </c>
      <c r="I11" s="384"/>
      <c r="J11" s="386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4"/>
      <c r="B12" s="477"/>
      <c r="C12" s="479"/>
      <c r="D12" s="463"/>
      <c r="E12" s="408" t="s">
        <v>186</v>
      </c>
      <c r="F12" s="405" t="s">
        <v>187</v>
      </c>
      <c r="G12" s="407" t="s">
        <v>188</v>
      </c>
      <c r="H12" s="474"/>
      <c r="I12" s="384"/>
      <c r="J12" s="386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4"/>
      <c r="B13" s="477"/>
      <c r="C13" s="475" t="s">
        <v>189</v>
      </c>
      <c r="D13" s="463" t="s">
        <v>190</v>
      </c>
      <c r="E13" s="409" t="s">
        <v>191</v>
      </c>
      <c r="F13" s="410" t="s">
        <v>192</v>
      </c>
      <c r="G13" s="464" t="s">
        <v>193</v>
      </c>
      <c r="H13" s="465"/>
      <c r="I13" s="384"/>
      <c r="J13" s="386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4"/>
      <c r="B14" s="477"/>
      <c r="C14" s="475"/>
      <c r="D14" s="463"/>
      <c r="E14" s="409" t="s">
        <v>194</v>
      </c>
      <c r="F14" s="410" t="s">
        <v>195</v>
      </c>
      <c r="G14" s="464" t="s">
        <v>196</v>
      </c>
      <c r="H14" s="465"/>
      <c r="I14" s="384"/>
      <c r="J14" s="386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4"/>
      <c r="B15" s="477"/>
      <c r="C15" s="475"/>
      <c r="D15" s="463" t="s">
        <v>197</v>
      </c>
      <c r="E15" s="409" t="s">
        <v>198</v>
      </c>
      <c r="F15" s="411" t="s">
        <v>199</v>
      </c>
      <c r="G15" s="412" t="s">
        <v>200</v>
      </c>
      <c r="H15" s="468" t="s">
        <v>201</v>
      </c>
      <c r="I15" s="384"/>
      <c r="J15" s="386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4"/>
      <c r="B16" s="478"/>
      <c r="C16" s="475"/>
      <c r="D16" s="463"/>
      <c r="E16" s="413" t="s">
        <v>202</v>
      </c>
      <c r="F16" s="411" t="s">
        <v>203</v>
      </c>
      <c r="G16" s="410" t="s">
        <v>204</v>
      </c>
      <c r="H16" s="469"/>
      <c r="I16" s="384"/>
      <c r="J16" s="386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4"/>
      <c r="B17" s="482" t="s">
        <v>205</v>
      </c>
      <c r="C17" s="485" t="s">
        <v>206</v>
      </c>
      <c r="D17" s="486"/>
      <c r="E17" s="414" t="s">
        <v>207</v>
      </c>
      <c r="F17" s="415" t="s">
        <v>208</v>
      </c>
      <c r="G17" s="491" t="s">
        <v>209</v>
      </c>
      <c r="H17" s="492"/>
      <c r="I17" s="384"/>
      <c r="J17" s="386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4"/>
      <c r="B18" s="483"/>
      <c r="C18" s="487"/>
      <c r="D18" s="488"/>
      <c r="E18" s="414" t="s">
        <v>210</v>
      </c>
      <c r="F18" s="415" t="s">
        <v>211</v>
      </c>
      <c r="G18" s="493"/>
      <c r="H18" s="494"/>
      <c r="I18" s="384"/>
      <c r="J18" s="386"/>
      <c r="L18">
        <f>IF(AND(N_200&gt;=50,Ll&lt;50,IP&gt;=7,IP&gt;=0.73*(Ll-20)),"CL","")</f>
      </c>
      <c r="P18">
        <f t="shared" si="0"/>
      </c>
    </row>
    <row r="19" spans="1:16" ht="39.75" customHeight="1">
      <c r="A19" s="384"/>
      <c r="B19" s="483"/>
      <c r="C19" s="489"/>
      <c r="D19" s="490"/>
      <c r="E19" s="414" t="s">
        <v>212</v>
      </c>
      <c r="F19" s="416" t="s">
        <v>213</v>
      </c>
      <c r="G19" s="417"/>
      <c r="H19" s="417"/>
      <c r="I19" s="384"/>
      <c r="J19" s="386"/>
      <c r="L19">
        <f>IF(AND(N_200&gt;=50,Ll&lt;50,IP&gt;=10,IP&lt;0.73*(Ll-20)),"OL","")</f>
      </c>
      <c r="P19">
        <f t="shared" si="0"/>
      </c>
    </row>
    <row r="20" spans="1:16" ht="39.75" customHeight="1">
      <c r="A20" s="384"/>
      <c r="B20" s="483"/>
      <c r="C20" s="487" t="s">
        <v>214</v>
      </c>
      <c r="D20" s="495"/>
      <c r="E20" s="418" t="s">
        <v>215</v>
      </c>
      <c r="F20" s="419" t="s">
        <v>216</v>
      </c>
      <c r="G20" s="384"/>
      <c r="H20" s="384"/>
      <c r="I20" s="384"/>
      <c r="J20" s="386"/>
      <c r="L20">
        <f>IF(AND(N_200&gt;=50,Ll&gt;=50,IP&gt;0,IP&lt;=16),"MH","")</f>
      </c>
      <c r="P20">
        <f t="shared" si="0"/>
      </c>
    </row>
    <row r="21" spans="1:16" ht="39.75" customHeight="1">
      <c r="A21" s="384"/>
      <c r="B21" s="483"/>
      <c r="C21" s="487"/>
      <c r="D21" s="495"/>
      <c r="E21" s="418" t="s">
        <v>217</v>
      </c>
      <c r="F21" s="419" t="s">
        <v>218</v>
      </c>
      <c r="G21" s="384"/>
      <c r="H21" s="384"/>
      <c r="I21" s="384"/>
      <c r="J21" s="386"/>
      <c r="L21">
        <f>IF(AND(N_200&gt;=50,Ll&gt;=50,IP&gt;=0.73*(Ll-20)),"CH","")</f>
      </c>
      <c r="P21">
        <f t="shared" si="0"/>
      </c>
    </row>
    <row r="22" spans="1:16" ht="39.75" customHeight="1">
      <c r="A22" s="384"/>
      <c r="B22" s="483"/>
      <c r="C22" s="489"/>
      <c r="D22" s="496"/>
      <c r="E22" s="420" t="s">
        <v>219</v>
      </c>
      <c r="F22" s="419" t="s">
        <v>220</v>
      </c>
      <c r="G22" s="384"/>
      <c r="H22" s="384"/>
      <c r="I22" s="384"/>
      <c r="J22" s="386"/>
      <c r="L22">
        <f>IF(AND(N_200&gt;=50,Ll&gt;=50,IP&gt;16,IP&lt;0.73*(Ll-20)),"OH","")</f>
      </c>
      <c r="P22">
        <f t="shared" si="0"/>
      </c>
    </row>
    <row r="23" spans="1:16" ht="49.5" customHeight="1">
      <c r="A23" s="384"/>
      <c r="B23" s="483"/>
      <c r="C23" s="485" t="s">
        <v>221</v>
      </c>
      <c r="D23" s="486"/>
      <c r="E23" s="421" t="s">
        <v>222</v>
      </c>
      <c r="F23" s="422" t="s">
        <v>223</v>
      </c>
      <c r="G23" s="384"/>
      <c r="H23" s="384"/>
      <c r="I23" s="384"/>
      <c r="J23" s="386"/>
      <c r="L23">
        <f>IF(AND(N_200&gt;=50,IP&gt;=0.73*(Ll-20),IP&gt;=4,IP&lt;7,IP&lt;0.9*(Ll-8)),"CL-ML","")</f>
      </c>
      <c r="P23">
        <f t="shared" si="0"/>
      </c>
    </row>
    <row r="24" spans="1:16" ht="13.5" customHeight="1">
      <c r="A24" s="384"/>
      <c r="B24" s="484"/>
      <c r="C24" s="423"/>
      <c r="D24" s="424"/>
      <c r="E24" s="425"/>
      <c r="F24" s="426"/>
      <c r="G24" s="384"/>
      <c r="H24" s="384"/>
      <c r="I24" s="384"/>
      <c r="J24" s="386"/>
      <c r="P24">
        <f t="shared" si="0"/>
      </c>
    </row>
    <row r="25" spans="1:10" ht="12.75">
      <c r="A25" s="384"/>
      <c r="B25" s="427"/>
      <c r="C25" s="427"/>
      <c r="D25" s="427"/>
      <c r="E25" s="428"/>
      <c r="F25" s="429"/>
      <c r="G25" s="384"/>
      <c r="H25" s="384"/>
      <c r="I25" s="384"/>
      <c r="J25" s="386"/>
    </row>
    <row r="26" spans="1:10" ht="12.75">
      <c r="A26" s="384"/>
      <c r="B26" s="427"/>
      <c r="C26" s="427"/>
      <c r="D26" s="427"/>
      <c r="E26" s="430"/>
      <c r="F26" s="429"/>
      <c r="G26" s="384"/>
      <c r="H26" s="384"/>
      <c r="I26" s="384"/>
      <c r="J26" s="386"/>
    </row>
    <row r="27" spans="1:10" ht="12.75">
      <c r="A27" s="384"/>
      <c r="B27" s="384"/>
      <c r="C27" s="384"/>
      <c r="D27" s="384"/>
      <c r="E27" s="430"/>
      <c r="F27" s="429"/>
      <c r="G27" s="384"/>
      <c r="H27" s="384"/>
      <c r="I27" s="384"/>
      <c r="J27" s="386"/>
    </row>
    <row r="28" spans="1:10" ht="12.75">
      <c r="A28" s="384"/>
      <c r="B28" s="384"/>
      <c r="C28" s="384"/>
      <c r="D28" s="384"/>
      <c r="E28" s="430"/>
      <c r="F28" s="429"/>
      <c r="G28" s="384"/>
      <c r="H28" s="384"/>
      <c r="I28" s="384"/>
      <c r="J28" s="386"/>
    </row>
    <row r="29" spans="1:10" ht="12.75">
      <c r="A29" s="384"/>
      <c r="B29" s="384"/>
      <c r="C29" s="384"/>
      <c r="D29" s="384"/>
      <c r="E29" s="430"/>
      <c r="F29" s="429"/>
      <c r="G29" s="384"/>
      <c r="H29" s="384"/>
      <c r="I29" s="384"/>
      <c r="J29" s="386"/>
    </row>
  </sheetData>
  <sheetProtection/>
  <mergeCells count="22">
    <mergeCell ref="B17:B24"/>
    <mergeCell ref="C17:D19"/>
    <mergeCell ref="G17:H18"/>
    <mergeCell ref="C20:D22"/>
    <mergeCell ref="C23:D23"/>
    <mergeCell ref="B1:H1"/>
    <mergeCell ref="B8:D8"/>
    <mergeCell ref="G8:H8"/>
    <mergeCell ref="H11:H12"/>
    <mergeCell ref="C13:C16"/>
    <mergeCell ref="M8:N8"/>
    <mergeCell ref="B9:B16"/>
    <mergeCell ref="C9:C12"/>
    <mergeCell ref="D9:D10"/>
    <mergeCell ref="G9:H9"/>
    <mergeCell ref="D13:D14"/>
    <mergeCell ref="G14:H14"/>
    <mergeCell ref="G10:H10"/>
    <mergeCell ref="D11:D12"/>
    <mergeCell ref="D15:D16"/>
    <mergeCell ref="H15:H16"/>
    <mergeCell ref="G13:H1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2007-08-23T03:28:35Z</cp:lastPrinted>
  <dcterms:created xsi:type="dcterms:W3CDTF">2001-12-11T20:36:57Z</dcterms:created>
  <dcterms:modified xsi:type="dcterms:W3CDTF">2009-07-12T05:52:44Z</dcterms:modified>
  <cp:category/>
  <cp:version/>
  <cp:contentType/>
  <cp:contentStatus/>
</cp:coreProperties>
</file>